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2corbeil\Downloads\"/>
    </mc:Choice>
  </mc:AlternateContent>
  <xr:revisionPtr revIDLastSave="0" documentId="13_ncr:1_{AF92DC67-230A-4457-98E5-97FB7F4B609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Instructions" sheetId="10" r:id="rId1"/>
    <sheet name="9 over12 Qtr Comp Calculator" sheetId="6" r:id="rId2"/>
    <sheet name="9 over 9 Comp Calc" sheetId="12" r:id="rId3"/>
    <sheet name="Service Period Dropdown Info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2" l="1"/>
  <c r="C8" i="12"/>
  <c r="C9" i="6"/>
  <c r="C8" i="6"/>
  <c r="C32" i="12"/>
  <c r="C40" i="12"/>
  <c r="D40" i="12"/>
  <c r="E40" i="12"/>
  <c r="E37" i="12"/>
  <c r="D37" i="12"/>
  <c r="C37" i="12"/>
  <c r="E27" i="12"/>
  <c r="E23" i="12"/>
  <c r="E20" i="12"/>
  <c r="E17" i="12"/>
  <c r="E14" i="12"/>
  <c r="E11" i="12"/>
  <c r="F40" i="6"/>
  <c r="E40" i="6"/>
  <c r="D40" i="6"/>
  <c r="C40" i="6"/>
  <c r="F37" i="6"/>
  <c r="E37" i="6"/>
  <c r="D37" i="6"/>
  <c r="C37" i="6"/>
  <c r="E4" i="6"/>
  <c r="E8" i="12" l="1"/>
  <c r="E29" i="12" s="1"/>
  <c r="F8" i="12" s="1"/>
  <c r="G8" i="12" s="1"/>
  <c r="E8" i="6"/>
  <c r="D39" i="12"/>
  <c r="D38" i="12"/>
  <c r="C38" i="12"/>
  <c r="C39" i="12"/>
  <c r="E38" i="12"/>
  <c r="C33" i="12"/>
  <c r="E39" i="12"/>
  <c r="C31" i="12" l="1"/>
  <c r="F20" i="12"/>
  <c r="G20" i="12" s="1"/>
  <c r="F23" i="12"/>
  <c r="G23" i="12" s="1"/>
  <c r="F17" i="12"/>
  <c r="G17" i="12" s="1"/>
  <c r="F14" i="12"/>
  <c r="G14" i="12" s="1"/>
  <c r="F11" i="12"/>
  <c r="D31" i="12" l="1"/>
  <c r="C41" i="12"/>
  <c r="G11" i="12"/>
  <c r="G25" i="12" s="1"/>
  <c r="F25" i="12"/>
  <c r="E20" i="6"/>
  <c r="C44" i="12" l="1"/>
  <c r="C42" i="12"/>
  <c r="C43" i="12"/>
  <c r="D41" i="12" l="1"/>
  <c r="E17" i="6"/>
  <c r="E14" i="6"/>
  <c r="D44" i="12" l="1"/>
  <c r="D42" i="12"/>
  <c r="D43" i="12"/>
  <c r="E41" i="12" l="1"/>
  <c r="C32" i="6"/>
  <c r="E27" i="6"/>
  <c r="E23" i="6"/>
  <c r="E11" i="6"/>
  <c r="E38" i="6" l="1"/>
  <c r="C38" i="6"/>
  <c r="E44" i="12"/>
  <c r="E42" i="12"/>
  <c r="E43" i="12"/>
  <c r="E29" i="6"/>
  <c r="F14" i="6" s="1"/>
  <c r="C39" i="6"/>
  <c r="F39" i="6"/>
  <c r="C33" i="6"/>
  <c r="D38" i="6"/>
  <c r="D39" i="6"/>
  <c r="E39" i="6"/>
  <c r="F38" i="6"/>
  <c r="C31" i="6" l="1"/>
  <c r="F17" i="6"/>
  <c r="G17" i="6" s="1"/>
  <c r="F8" i="6"/>
  <c r="G8" i="6" s="1"/>
  <c r="F23" i="6"/>
  <c r="G23" i="6" s="1"/>
  <c r="F20" i="6"/>
  <c r="F11" i="6"/>
  <c r="G14" i="6"/>
  <c r="F25" i="6" l="1"/>
  <c r="D31" i="6"/>
  <c r="C41" i="6"/>
  <c r="C44" i="6" s="1"/>
  <c r="G20" i="6"/>
  <c r="G11" i="6"/>
  <c r="G25" i="6" l="1"/>
  <c r="C43" i="6"/>
  <c r="D41" i="6" s="1"/>
  <c r="D42" i="6" s="1"/>
  <c r="C42" i="6"/>
  <c r="D43" i="6" l="1"/>
  <c r="E41" i="6" s="1"/>
  <c r="E42" i="6" s="1"/>
  <c r="D44" i="6"/>
  <c r="E43" i="6" l="1"/>
  <c r="F41" i="6" s="1"/>
  <c r="F42" i="6" s="1"/>
  <c r="E44" i="6"/>
  <c r="F44" i="6" l="1"/>
  <c r="F43" i="6"/>
</calcChain>
</file>

<file path=xl/sharedStrings.xml><?xml version="1.0" encoding="utf-8"?>
<sst xmlns="http://schemas.openxmlformats.org/spreadsheetml/2006/main" count="248" uniqueCount="130">
  <si>
    <t>Service Period Dates</t>
  </si>
  <si>
    <t>Start</t>
  </si>
  <si>
    <t>End</t>
  </si>
  <si>
    <t>Quarterly Rate:</t>
  </si>
  <si>
    <t>Amount Earned:</t>
  </si>
  <si>
    <t>Payroll Days</t>
  </si>
  <si>
    <t>March</t>
  </si>
  <si>
    <t>May</t>
  </si>
  <si>
    <t>June</t>
  </si>
  <si>
    <t>July</t>
  </si>
  <si>
    <t>August</t>
  </si>
  <si>
    <t>Month Affected 1</t>
  </si>
  <si>
    <t>Month 2</t>
  </si>
  <si>
    <t>Month 3</t>
  </si>
  <si>
    <t>Month 4</t>
  </si>
  <si>
    <t>Payroll Outcome by Month:</t>
  </si>
  <si>
    <t>Only manually insert information into YELLOW BOXES</t>
  </si>
  <si>
    <t>Employee Annual Salary:</t>
  </si>
  <si>
    <t>Qtr Working Days:</t>
  </si>
  <si>
    <t>Net LWP Days</t>
  </si>
  <si>
    <t>Net LWOP Days:</t>
  </si>
  <si>
    <t>Service Period LWOP Dates</t>
  </si>
  <si>
    <t>Service Period LwP Dates</t>
  </si>
  <si>
    <t>Working Days</t>
  </si>
  <si>
    <t>TOTAL QTR COMP</t>
  </si>
  <si>
    <t>% time for QTR:</t>
  </si>
  <si>
    <t>Monthly 9/9 Gross for ACTUAL %:</t>
  </si>
  <si>
    <t>Daily Rate @100%:</t>
  </si>
  <si>
    <t>Monthly 9/12 Gross for ACTUAL %:</t>
  </si>
  <si>
    <t>Instructions</t>
  </si>
  <si>
    <t>Fall 9/12--(July, August, Sept., Oct.), Fall 9/9 (October, November, December)</t>
  </si>
  <si>
    <t>Winter 9/12 (November, December, January, February), OR Winter 9/9 (January, February, March)</t>
  </si>
  <si>
    <t>Spring 9/12 (March, April, May, June), OR Spring 9/9 (April, May, June)</t>
  </si>
  <si>
    <t>payroll dates MM/DD/YY-MM/DD/YY. (If no service dates worked then only provide pay dates.)</t>
  </si>
  <si>
    <t>Annual salary $______, ___%, quarterly rate $______, PAYROLL Daily Rate $_____</t>
  </si>
  <si>
    <t xml:space="preserve">[calculated payroll dates].  </t>
  </si>
  <si>
    <t xml:space="preserve">Working Dates if Pre-Leave or Post Leave </t>
  </si>
  <si>
    <t>Payroll Days Affected</t>
  </si>
  <si>
    <t>2nd LWOP portion (if applicable)</t>
  </si>
  <si>
    <t>Net LWOP Days</t>
  </si>
  <si>
    <t>e.g.</t>
  </si>
  <si>
    <t>Payroll calendars are available here.</t>
  </si>
  <si>
    <t xml:space="preserve">AFFECTS PAY: Pay exactly $(partial quarter $ calculation) for service provided on MM/DD/YY -MM/DD/YY, </t>
  </si>
  <si>
    <t>WHEN WHOLE QUARTER IS COMPENSATED BUT PART IS A LEAVE WITH PAY:</t>
  </si>
  <si>
    <t>Compensation not yet received</t>
  </si>
  <si>
    <t>Payroll Gross Monthly Comp</t>
  </si>
  <si>
    <t>QUARTER PAY MONTHS AFFECTED:</t>
  </si>
  <si>
    <t>If there is a Leave with Pay (LWP) component, enter the actual leave start and end dates in cells C9 and C10</t>
  </si>
  <si>
    <t>Enter the employee's percent time for the affected quarter</t>
  </si>
  <si>
    <t>Section II: Daily Rate Calculation:</t>
  </si>
  <si>
    <t>Section I: Actual Dates of Leaves/Change of Status</t>
  </si>
  <si>
    <t>If 100%,  payroll</t>
  </si>
  <si>
    <t>Gross to comp</t>
  </si>
  <si>
    <t>Actual gross</t>
  </si>
  <si>
    <t>per empl % time</t>
  </si>
  <si>
    <t>Monthly 9/12 Gross if @100%</t>
  </si>
  <si>
    <t>Monthly 9/9 Gross if @100%</t>
  </si>
  <si>
    <t>Payroll 100% Payroll 9/12 Day Rate:</t>
  </si>
  <si>
    <t>ACTUAL 9/12 Payroll Day Rate by appt%:</t>
  </si>
  <si>
    <t>Section III: Payroll (PPS) Leave Dates Determination</t>
  </si>
  <si>
    <t xml:space="preserve">FML [or non-FML] Leave with pay from [actual leave dates], with payroll dates of </t>
  </si>
  <si>
    <t>9 Over 12 Leaves and Daily Rate Calculator</t>
  </si>
  <si>
    <t xml:space="preserve">employees do not need a conversion tool because pay and service dates directly correlate. </t>
  </si>
  <si>
    <t>NOTE: This tool is for calculating service to pay date translations for leaves only.  It cannot be</t>
  </si>
  <si>
    <t>Nov</t>
  </si>
  <si>
    <t>Dec</t>
  </si>
  <si>
    <t>Feb</t>
  </si>
  <si>
    <t>Quarter Impacted:</t>
  </si>
  <si>
    <t>FA23</t>
  </si>
  <si>
    <t>WI24</t>
  </si>
  <si>
    <t>SP24</t>
  </si>
  <si>
    <t>Qtr</t>
  </si>
  <si>
    <t>Service Start</t>
  </si>
  <si>
    <t>Service End</t>
  </si>
  <si>
    <t>PayPerMo1</t>
  </si>
  <si>
    <t>PayPerMo2</t>
  </si>
  <si>
    <t>PayPerMo3</t>
  </si>
  <si>
    <t>PayPerMo4</t>
  </si>
  <si>
    <t>Sept</t>
  </si>
  <si>
    <t>Oct</t>
  </si>
  <si>
    <t xml:space="preserve"> Jan</t>
  </si>
  <si>
    <t>Mar</t>
  </si>
  <si>
    <t>Apr</t>
  </si>
  <si>
    <t>If there are Leave without Pay (LWOP) components, enter all applicable information, including working days.</t>
  </si>
  <si>
    <t>only the leave with pay dates (C9,C10) so that you can see which payroll days to use for the leave entry.</t>
  </si>
  <si>
    <t>Enter the employee's annual salary.</t>
  </si>
  <si>
    <t>WHEN ANY PART OF THE QUARTER IS NOT COMPENSATED, be explicit in your UCPath comments.</t>
  </si>
  <si>
    <t>Jan</t>
  </si>
  <si>
    <t xml:space="preserve">Where "ALL PAY" is outcome, payroll leave dates include full month.  Where "MANUAL TRANS" appears, convert rounded day count </t>
  </si>
  <si>
    <t>with your actual calendar's working days to determine when different status starts</t>
  </si>
  <si>
    <t>*Used for automation of Service Dates and Payroll Months. Can be updated for future years.</t>
  </si>
  <si>
    <t>Select the quarter in cell C3.</t>
  </si>
  <si>
    <t>Quarter service dates have been added in the Dropdown info tab. You may update, as needed, for future years.</t>
  </si>
  <si>
    <t xml:space="preserve">You may also double check them, as needed, on applicable academic year calendars.  </t>
  </si>
  <si>
    <t xml:space="preserve">Selecting the quarter will autopopulate the quarter service dates.  </t>
  </si>
  <si>
    <t>For quarters where there is ONLY a leave with pay portion, coupled with active service, you will enter</t>
  </si>
  <si>
    <t xml:space="preserve">UCPath entry will require both Pay and Service Dates for AY appointees. </t>
  </si>
  <si>
    <t xml:space="preserve">Note: Actual leave dates in Section I are used to determine Section III compensated payroll leave dates </t>
  </si>
  <si>
    <t>Pay months for the quarter selected in C3 will appear, along with the working days per month (incl. holidays).</t>
  </si>
  <si>
    <t>Feel free to reference the payroll calendar for the applicable payroll months and confirm what's on the sheet.</t>
  </si>
  <si>
    <t>Look for the first payroll month in Section III where Manual Trans is noted on the bottom row.</t>
  </si>
  <si>
    <t xml:space="preserve"> in pay status.  EXAMPLE: If the calendar says 9.4564, look at that affected month and count working days</t>
  </si>
  <si>
    <t xml:space="preserve"> the employee whenever possible.  </t>
  </si>
  <si>
    <t>Take that count of working days from that month and go to a calendar to figure out which actual date the</t>
  </si>
  <si>
    <t xml:space="preserve"> and holidays until you reach 9. If the spreadsheet says 9.5545, round up to 10. Count days to benefit</t>
  </si>
  <si>
    <r>
      <t xml:space="preserve">These calculations are for employees hired on an </t>
    </r>
    <r>
      <rPr>
        <b/>
        <u/>
        <sz val="10"/>
        <color theme="1"/>
        <rFont val="Calibri"/>
        <family val="2"/>
        <scheme val="minor"/>
      </rPr>
      <t>academic year</t>
    </r>
    <r>
      <rPr>
        <sz val="10"/>
        <color theme="1"/>
        <rFont val="Calibri"/>
        <family val="2"/>
        <scheme val="minor"/>
      </rPr>
      <t xml:space="preserve"> basis.  Fiscal year</t>
    </r>
  </si>
  <si>
    <r>
      <t xml:space="preserve">used for </t>
    </r>
    <r>
      <rPr>
        <u/>
        <sz val="10"/>
        <color theme="1"/>
        <rFont val="Calibri"/>
        <family val="2"/>
        <scheme val="minor"/>
      </rPr>
      <t>lay-off pay calculations</t>
    </r>
    <r>
      <rPr>
        <sz val="10"/>
        <color theme="1"/>
        <rFont val="Calibri"/>
        <family val="2"/>
        <scheme val="minor"/>
      </rPr>
      <t xml:space="preserve">. Deans' Offices should be consulted regarding lay-offs.  </t>
    </r>
  </si>
  <si>
    <t>Section I: Actual Dates of Leave/Change of Status</t>
  </si>
  <si>
    <t>Section II: Daily Rate Calculation</t>
  </si>
  <si>
    <t>Section III: Service Period to Pay Period Dates Conversion</t>
  </si>
  <si>
    <t>Determine appointee's pay frequency (9/9 or 9/12) and select the correct tab.</t>
  </si>
  <si>
    <t>payroll dates from Section III to enter pay period leave dates in the "Pay Period Dates for AY Academics" tab.</t>
  </si>
  <si>
    <t xml:space="preserve">The service dates of the leave from Section I will be entered in the "Extended Absence Details" tab. Use </t>
  </si>
  <si>
    <t>payroll days are impacted until. The day after is the first day there will be a change</t>
  </si>
  <si>
    <t xml:space="preserve">You may not need the second set of LWOP dates but they are there in case you do.  </t>
  </si>
  <si>
    <t>9/9PayPerMo3</t>
  </si>
  <si>
    <t>9/9PayPerMo2</t>
  </si>
  <si>
    <t>9/9PayPerMo1</t>
  </si>
  <si>
    <t>FA24</t>
  </si>
  <si>
    <t>WI25</t>
  </si>
  <si>
    <t>SP25</t>
  </si>
  <si>
    <t>FA25</t>
  </si>
  <si>
    <t>PWD</t>
  </si>
  <si>
    <t>WI26</t>
  </si>
  <si>
    <t>SP26</t>
  </si>
  <si>
    <t>Payroll 100% Payroll 9/9 Day Rate:</t>
  </si>
  <si>
    <t>ACTUAL 9/9 Payroll Day Rate by appt%:</t>
  </si>
  <si>
    <t>PWD= Payroll Working Day and includes all M-F, including holidays</t>
  </si>
  <si>
    <t>then Data Validation and include the added row in the column A cells used for the quarter dropdown menus.</t>
  </si>
  <si>
    <t xml:space="preserve">To add a new quarter, unprotect this sheet in the Review menu, insert a row under row 10, add data, go to each quarter menu dropdown cell on the calculators, click the Data menu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</si>
</sst>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7" fontId="0" fillId="0" borderId="0" xfId="0" applyNumberFormat="1" applyAlignment="1">
      <alignment horizontal="center"/>
    </xf>
    <xf numFmtId="8" fontId="0" fillId="0" borderId="0" xfId="0" applyNumberFormat="1"/>
    <xf numFmtId="0" fontId="3" fillId="0" borderId="1" xfId="0" applyFont="1" applyBorder="1"/>
    <xf numFmtId="0" fontId="8" fillId="0" borderId="0" xfId="0" applyFont="1"/>
    <xf numFmtId="0" fontId="9" fillId="0" borderId="0" xfId="0" applyFont="1"/>
    <xf numFmtId="9" fontId="2" fillId="0" borderId="0" xfId="0" applyNumberFormat="1" applyFont="1" applyAlignment="1">
      <alignment horizontal="left"/>
    </xf>
    <xf numFmtId="164" fontId="0" fillId="0" borderId="1" xfId="0" applyNumberForma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0" fillId="0" borderId="0" xfId="0" applyAlignment="1">
      <alignment horizontal="left"/>
    </xf>
    <xf numFmtId="165" fontId="0" fillId="0" borderId="1" xfId="0" applyNumberFormat="1" applyBorder="1" applyAlignment="1" applyProtection="1">
      <alignment horizontal="right"/>
    </xf>
    <xf numFmtId="0" fontId="10" fillId="0" borderId="0" xfId="0" applyFont="1"/>
    <xf numFmtId="0" fontId="10" fillId="0" borderId="1" xfId="0" applyFont="1" applyBorder="1"/>
    <xf numFmtId="0" fontId="7" fillId="0" borderId="1" xfId="0" applyFont="1" applyBorder="1"/>
    <xf numFmtId="0" fontId="13" fillId="0" borderId="0" xfId="0" applyFont="1"/>
    <xf numFmtId="0" fontId="12" fillId="0" borderId="0" xfId="0" applyFont="1"/>
    <xf numFmtId="0" fontId="5" fillId="0" borderId="0" xfId="0" applyFont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/>
    <xf numFmtId="0" fontId="13" fillId="2" borderId="0" xfId="0" applyFont="1" applyFill="1"/>
    <xf numFmtId="0" fontId="14" fillId="2" borderId="0" xfId="1" applyFont="1" applyFill="1" applyBorder="1"/>
    <xf numFmtId="0" fontId="16" fillId="2" borderId="0" xfId="0" applyFont="1" applyFill="1" applyBorder="1"/>
    <xf numFmtId="0" fontId="12" fillId="2" borderId="0" xfId="0" applyFont="1" applyFill="1" applyBorder="1"/>
    <xf numFmtId="0" fontId="17" fillId="2" borderId="0" xfId="0" applyFont="1" applyFill="1" applyBorder="1"/>
    <xf numFmtId="0" fontId="15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165" fontId="0" fillId="0" borderId="1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21" fillId="2" borderId="0" xfId="0" applyFont="1" applyFill="1" applyAlignment="1"/>
    <xf numFmtId="0" fontId="19" fillId="2" borderId="0" xfId="0" applyFont="1" applyFill="1" applyAlignment="1"/>
    <xf numFmtId="0" fontId="10" fillId="3" borderId="0" xfId="0" applyFont="1" applyFill="1"/>
    <xf numFmtId="164" fontId="0" fillId="3" borderId="0" xfId="0" applyNumberFormat="1" applyFill="1"/>
    <xf numFmtId="0" fontId="0" fillId="3" borderId="0" xfId="0" applyFill="1"/>
    <xf numFmtId="164" fontId="0" fillId="3" borderId="2" xfId="0" applyNumberFormat="1" applyFill="1" applyBorder="1"/>
    <xf numFmtId="0" fontId="10" fillId="3" borderId="2" xfId="0" applyFont="1" applyFill="1" applyBorder="1" applyAlignment="1">
      <alignment horizontal="center"/>
    </xf>
    <xf numFmtId="164" fontId="0" fillId="5" borderId="1" xfId="0" applyNumberFormat="1" applyFill="1" applyBorder="1" applyAlignment="1" applyProtection="1">
      <alignment horizontal="center"/>
    </xf>
    <xf numFmtId="0" fontId="15" fillId="2" borderId="0" xfId="0" applyFont="1" applyFill="1" applyBorder="1" applyAlignment="1">
      <alignment horizontal="left"/>
    </xf>
    <xf numFmtId="0" fontId="15" fillId="0" borderId="0" xfId="0" applyFont="1"/>
    <xf numFmtId="0" fontId="22" fillId="2" borderId="0" xfId="0" applyFont="1" applyFill="1" applyBorder="1" applyAlignment="1">
      <alignment horizontal="left"/>
    </xf>
    <xf numFmtId="0" fontId="22" fillId="2" borderId="0" xfId="0" applyFont="1" applyFill="1" applyBorder="1"/>
    <xf numFmtId="0" fontId="22" fillId="0" borderId="0" xfId="0" applyFont="1"/>
    <xf numFmtId="0" fontId="23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0" fillId="3" borderId="0" xfId="0" applyFill="1" applyAlignment="1">
      <alignment horizontal="center"/>
    </xf>
    <xf numFmtId="0" fontId="13" fillId="5" borderId="0" xfId="0" applyFont="1" applyFill="1" applyBorder="1" applyAlignment="1">
      <alignment horizontal="left"/>
    </xf>
    <xf numFmtId="0" fontId="13" fillId="5" borderId="0" xfId="0" applyFont="1" applyFill="1" applyAlignment="1"/>
    <xf numFmtId="0" fontId="0" fillId="3" borderId="0" xfId="0" applyFill="1" applyAlignment="1">
      <alignment horizontal="left"/>
    </xf>
    <xf numFmtId="0" fontId="19" fillId="2" borderId="0" xfId="0" applyFont="1" applyFill="1" applyAlignment="1">
      <alignment horizontal="left"/>
    </xf>
    <xf numFmtId="0" fontId="0" fillId="4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4" fontId="0" fillId="4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4" borderId="1" xfId="0" applyNumberForma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10" fontId="0" fillId="4" borderId="1" xfId="0" applyNumberFormat="1" applyFill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0" borderId="1" xfId="0" applyFont="1" applyBorder="1" applyAlignment="1" applyProtection="1">
      <alignment horizontal="left"/>
    </xf>
    <xf numFmtId="16" fontId="0" fillId="0" borderId="0" xfId="0" applyNumberFormat="1" applyAlignment="1">
      <alignment horizontal="left"/>
    </xf>
    <xf numFmtId="0" fontId="1" fillId="0" borderId="0" xfId="0" applyFont="1"/>
    <xf numFmtId="0" fontId="20" fillId="3" borderId="0" xfId="0" applyFont="1" applyFill="1"/>
    <xf numFmtId="0" fontId="1" fillId="6" borderId="1" xfId="0" applyFont="1" applyFill="1" applyBorder="1"/>
    <xf numFmtId="0" fontId="21" fillId="2" borderId="0" xfId="0" applyFont="1" applyFill="1" applyAlignment="1"/>
    <xf numFmtId="0" fontId="19" fillId="2" borderId="0" xfId="0" applyFont="1" applyFill="1" applyAlignment="1"/>
    <xf numFmtId="14" fontId="0" fillId="0" borderId="0" xfId="0" applyNumberFormat="1" applyAlignment="1">
      <alignment horizontal="center"/>
    </xf>
    <xf numFmtId="14" fontId="0" fillId="0" borderId="0" xfId="0" applyNumberFormat="1"/>
    <xf numFmtId="1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4" borderId="1" xfId="0" applyFill="1" applyBorder="1"/>
    <xf numFmtId="14" fontId="0" fillId="4" borderId="1" xfId="0" applyNumberFormat="1" applyFill="1" applyBorder="1"/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/>
    <xf numFmtId="0" fontId="12" fillId="4" borderId="0" xfId="0" applyFont="1" applyFill="1"/>
    <xf numFmtId="0" fontId="13" fillId="4" borderId="0" xfId="0" applyFont="1" applyFill="1" applyBorder="1" applyAlignment="1">
      <alignment horizontal="left"/>
    </xf>
    <xf numFmtId="0" fontId="13" fillId="4" borderId="0" xfId="0" applyFont="1" applyFill="1" applyBorder="1"/>
    <xf numFmtId="0" fontId="13" fillId="4" borderId="0" xfId="0" applyFont="1" applyFill="1"/>
    <xf numFmtId="0" fontId="12" fillId="8" borderId="0" xfId="0" applyFont="1" applyFill="1" applyBorder="1" applyAlignment="1">
      <alignment horizontal="left"/>
    </xf>
    <xf numFmtId="0" fontId="12" fillId="8" borderId="0" xfId="0" applyFont="1" applyFill="1" applyBorder="1"/>
    <xf numFmtId="0" fontId="12" fillId="8" borderId="0" xfId="0" applyFont="1" applyFill="1"/>
    <xf numFmtId="0" fontId="13" fillId="8" borderId="0" xfId="0" applyFont="1" applyFill="1" applyBorder="1" applyAlignment="1">
      <alignment horizontal="left"/>
    </xf>
    <xf numFmtId="0" fontId="13" fillId="8" borderId="0" xfId="0" applyFont="1" applyFill="1" applyBorder="1"/>
    <xf numFmtId="0" fontId="13" fillId="8" borderId="0" xfId="0" applyFont="1" applyFill="1"/>
    <xf numFmtId="14" fontId="0" fillId="7" borderId="1" xfId="0" applyNumberFormat="1" applyFill="1" applyBorder="1" applyAlignment="1" applyProtection="1">
      <alignment horizontal="center"/>
      <protection locked="0"/>
    </xf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 applyProtection="1">
      <alignment horizontal="right"/>
    </xf>
    <xf numFmtId="164" fontId="0" fillId="0" borderId="1" xfId="0" applyNumberFormat="1" applyBorder="1"/>
    <xf numFmtId="14" fontId="0" fillId="7" borderId="1" xfId="0" applyNumberFormat="1" applyFill="1" applyBorder="1" applyAlignment="1"/>
    <xf numFmtId="0" fontId="0" fillId="0" borderId="1" xfId="0" applyBorder="1" applyAlignment="1"/>
    <xf numFmtId="14" fontId="0" fillId="4" borderId="1" xfId="0" applyNumberFormat="1" applyFill="1" applyBorder="1" applyAlignment="1" applyProtection="1">
      <protection locked="0"/>
    </xf>
    <xf numFmtId="14" fontId="0" fillId="4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0" fillId="7" borderId="1" xfId="0" applyNumberForma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0" fontId="13" fillId="5" borderId="0" xfId="0" applyFont="1" applyFill="1" applyAlignment="1"/>
    <xf numFmtId="0" fontId="21" fillId="2" borderId="0" xfId="0" applyFont="1" applyFill="1" applyAlignment="1"/>
    <xf numFmtId="0" fontId="19" fillId="2" borderId="0" xfId="0" applyFont="1" applyFill="1" applyAlignment="1"/>
    <xf numFmtId="0" fontId="3" fillId="0" borderId="3" xfId="0" applyFont="1" applyBorder="1" applyAlignment="1"/>
    <xf numFmtId="0" fontId="0" fillId="0" borderId="4" xfId="0" applyBorder="1" applyAlignment="1"/>
  </cellXfs>
  <cellStyles count="2">
    <cellStyle name="Hyperlink" xfId="1" builtinId="8"/>
    <cellStyle name="Normal" xfId="0" builtinId="0"/>
  </cellStyles>
  <dxfs count="13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AFC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FFFF00"/>
      </font>
      <fill>
        <patternFill>
          <bgColor rgb="FFC00000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AFC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FFFF0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E1E1FF"/>
      <color rgb="FFCCCCFF"/>
      <color rgb="FFF7AFC0"/>
      <color rgb="FFD6F6F4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link.ucsd.edu/instructors/resources/academic/calendars/index.html" TargetMode="External"/><Relationship Id="rId1" Type="http://schemas.openxmlformats.org/officeDocument/2006/relationships/hyperlink" Target="http://blink.ucsd.edu/finance/payroll/calendar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K49"/>
  <sheetViews>
    <sheetView showGridLines="0" tabSelected="1" workbookViewId="0">
      <selection activeCell="L24" sqref="L24"/>
    </sheetView>
  </sheetViews>
  <sheetFormatPr defaultRowHeight="15" x14ac:dyDescent="0.25"/>
  <cols>
    <col min="1" max="1" width="3" style="20" customWidth="1"/>
    <col min="2" max="2" width="9.140625" customWidth="1"/>
    <col min="10" max="10" width="12.85546875" customWidth="1"/>
  </cols>
  <sheetData>
    <row r="1" spans="1:11" ht="21" x14ac:dyDescent="0.35">
      <c r="A1" s="40" t="s">
        <v>29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s="25" customFormat="1" ht="7.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 x14ac:dyDescent="0.25">
      <c r="A3" s="31" t="s">
        <v>105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x14ac:dyDescent="0.25">
      <c r="A4" s="31" t="s">
        <v>62</v>
      </c>
      <c r="B4" s="32"/>
      <c r="C4" s="32"/>
      <c r="D4" s="32"/>
      <c r="E4" s="32"/>
      <c r="F4" s="32"/>
      <c r="G4" s="32"/>
      <c r="H4" s="32"/>
      <c r="I4" s="32"/>
      <c r="J4" s="32"/>
    </row>
    <row r="5" spans="1:11" x14ac:dyDescent="0.25">
      <c r="A5" s="113" t="s">
        <v>63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1" x14ac:dyDescent="0.25">
      <c r="A6" s="61" t="s">
        <v>106</v>
      </c>
      <c r="B6" s="62"/>
      <c r="C6" s="62"/>
      <c r="D6" s="62"/>
      <c r="E6" s="62"/>
      <c r="F6" s="62"/>
      <c r="G6" s="62"/>
      <c r="H6" s="62"/>
      <c r="I6" s="62"/>
      <c r="J6" s="62"/>
    </row>
    <row r="7" spans="1:11" ht="25.5" customHeight="1" x14ac:dyDescent="0.25">
      <c r="A7" s="30" t="s">
        <v>107</v>
      </c>
      <c r="B7" s="28"/>
      <c r="C7" s="28"/>
      <c r="D7" s="28"/>
      <c r="E7" s="28"/>
      <c r="F7" s="28"/>
      <c r="G7" s="28"/>
      <c r="H7" s="28"/>
      <c r="I7" s="28"/>
      <c r="J7" s="28"/>
    </row>
    <row r="8" spans="1:11" s="26" customFormat="1" ht="16.5" customHeight="1" x14ac:dyDescent="0.2">
      <c r="A8" s="39">
        <v>1</v>
      </c>
      <c r="B8" s="36" t="s">
        <v>110</v>
      </c>
      <c r="C8" s="36"/>
      <c r="D8" s="36"/>
      <c r="E8" s="36"/>
      <c r="F8" s="36"/>
      <c r="G8" s="36"/>
      <c r="H8" s="36"/>
      <c r="I8" s="36"/>
      <c r="J8" s="36"/>
    </row>
    <row r="9" spans="1:11" s="26" customFormat="1" ht="16.5" customHeight="1" x14ac:dyDescent="0.2">
      <c r="A9" s="39">
        <v>2</v>
      </c>
      <c r="B9" s="36" t="s">
        <v>91</v>
      </c>
      <c r="C9" s="36"/>
      <c r="D9" s="36"/>
      <c r="E9" s="36"/>
      <c r="F9" s="36"/>
      <c r="G9" s="36"/>
      <c r="H9" s="36"/>
      <c r="I9" s="36"/>
      <c r="J9" s="36"/>
    </row>
    <row r="10" spans="1:11" s="25" customFormat="1" ht="13.5" customHeight="1" x14ac:dyDescent="0.2">
      <c r="A10" s="31"/>
      <c r="B10" s="32" t="s">
        <v>92</v>
      </c>
      <c r="C10" s="32"/>
      <c r="D10" s="32"/>
      <c r="E10" s="32"/>
      <c r="F10" s="32"/>
      <c r="G10" s="32"/>
      <c r="H10" s="32"/>
      <c r="I10" s="32"/>
      <c r="J10" s="32"/>
    </row>
    <row r="11" spans="1:11" s="25" customFormat="1" ht="12.75" x14ac:dyDescent="0.2">
      <c r="A11" s="31"/>
      <c r="B11" s="34" t="s">
        <v>93</v>
      </c>
      <c r="C11" s="32"/>
      <c r="D11" s="32"/>
      <c r="E11" s="32"/>
      <c r="F11" s="32"/>
      <c r="G11" s="32"/>
      <c r="H11" s="32"/>
      <c r="I11" s="32"/>
      <c r="J11" s="32"/>
    </row>
    <row r="12" spans="1:11" s="25" customFormat="1" ht="18" customHeight="1" x14ac:dyDescent="0.2">
      <c r="A12" s="31"/>
      <c r="B12" s="32" t="s">
        <v>94</v>
      </c>
      <c r="C12" s="32"/>
      <c r="D12" s="32"/>
      <c r="E12" s="32"/>
      <c r="F12" s="32"/>
      <c r="G12" s="32"/>
      <c r="H12" s="32"/>
      <c r="I12" s="32"/>
      <c r="J12" s="32"/>
    </row>
    <row r="13" spans="1:11" s="26" customFormat="1" ht="17.25" customHeight="1" x14ac:dyDescent="0.2">
      <c r="A13" s="89">
        <v>3</v>
      </c>
      <c r="B13" s="90" t="s">
        <v>47</v>
      </c>
      <c r="C13" s="90"/>
      <c r="D13" s="90"/>
      <c r="E13" s="90"/>
      <c r="F13" s="90"/>
      <c r="G13" s="90"/>
      <c r="H13" s="90"/>
      <c r="I13" s="90"/>
      <c r="J13" s="90"/>
      <c r="K13" s="91"/>
    </row>
    <row r="14" spans="1:11" s="25" customFormat="1" ht="12.75" customHeight="1" x14ac:dyDescent="0.2">
      <c r="A14" s="92"/>
      <c r="B14" s="93" t="s">
        <v>95</v>
      </c>
      <c r="C14" s="93"/>
      <c r="D14" s="93"/>
      <c r="E14" s="93"/>
      <c r="F14" s="93"/>
      <c r="G14" s="93"/>
      <c r="H14" s="93"/>
      <c r="I14" s="93"/>
      <c r="J14" s="93"/>
      <c r="K14" s="94"/>
    </row>
    <row r="15" spans="1:11" s="25" customFormat="1" ht="12" customHeight="1" x14ac:dyDescent="0.2">
      <c r="A15" s="92"/>
      <c r="B15" s="93" t="s">
        <v>84</v>
      </c>
      <c r="C15" s="93"/>
      <c r="D15" s="93"/>
      <c r="E15" s="93"/>
      <c r="F15" s="93"/>
      <c r="G15" s="93"/>
      <c r="H15" s="93"/>
      <c r="I15" s="93"/>
      <c r="J15" s="93"/>
      <c r="K15" s="94"/>
    </row>
    <row r="16" spans="1:11" s="26" customFormat="1" ht="15" customHeight="1" x14ac:dyDescent="0.2">
      <c r="A16" s="95">
        <v>4</v>
      </c>
      <c r="B16" s="96" t="s">
        <v>83</v>
      </c>
      <c r="C16" s="96"/>
      <c r="D16" s="96"/>
      <c r="E16" s="96"/>
      <c r="F16" s="96"/>
      <c r="G16" s="96"/>
      <c r="H16" s="96"/>
      <c r="I16" s="96"/>
      <c r="J16" s="96"/>
      <c r="K16" s="97"/>
    </row>
    <row r="17" spans="1:11" s="25" customFormat="1" ht="11.25" customHeight="1" x14ac:dyDescent="0.2">
      <c r="A17" s="98"/>
      <c r="B17" s="99" t="s">
        <v>114</v>
      </c>
      <c r="C17" s="99"/>
      <c r="D17" s="99"/>
      <c r="E17" s="99"/>
      <c r="F17" s="99"/>
      <c r="G17" s="99"/>
      <c r="H17" s="99"/>
      <c r="I17" s="99"/>
      <c r="J17" s="99"/>
      <c r="K17" s="100"/>
    </row>
    <row r="18" spans="1:11" s="25" customFormat="1" ht="11.25" customHeight="1" x14ac:dyDescent="0.2">
      <c r="A18" s="31"/>
      <c r="B18" s="32"/>
      <c r="C18" s="32"/>
      <c r="D18" s="32"/>
      <c r="E18" s="32"/>
      <c r="F18" s="32"/>
      <c r="G18" s="32"/>
      <c r="H18" s="32"/>
      <c r="I18" s="32"/>
      <c r="J18" s="32"/>
    </row>
    <row r="19" spans="1:11" s="25" customFormat="1" ht="12" customHeight="1" x14ac:dyDescent="0.2">
      <c r="A19" s="31"/>
      <c r="B19" s="32" t="s">
        <v>97</v>
      </c>
      <c r="C19" s="32"/>
      <c r="D19" s="32"/>
      <c r="E19" s="32"/>
      <c r="F19" s="32"/>
      <c r="G19" s="32"/>
      <c r="H19" s="32"/>
      <c r="I19" s="32"/>
      <c r="J19" s="32"/>
    </row>
    <row r="20" spans="1:11" s="53" customFormat="1" ht="10.5" customHeight="1" x14ac:dyDescent="0.2">
      <c r="A20" s="52"/>
      <c r="B20" s="38" t="s">
        <v>96</v>
      </c>
      <c r="C20" s="38"/>
      <c r="D20" s="38"/>
      <c r="E20" s="38"/>
      <c r="F20" s="38"/>
      <c r="G20" s="38"/>
      <c r="H20" s="38"/>
      <c r="I20" s="38"/>
      <c r="J20" s="38"/>
    </row>
    <row r="21" spans="1:11" s="25" customFormat="1" ht="7.5" customHeight="1" x14ac:dyDescent="0.2">
      <c r="A21" s="31"/>
      <c r="B21" s="36"/>
      <c r="C21" s="32"/>
      <c r="D21" s="32"/>
      <c r="E21" s="32"/>
      <c r="F21" s="32"/>
      <c r="G21" s="32"/>
      <c r="H21" s="32"/>
      <c r="I21" s="32"/>
      <c r="J21" s="32"/>
    </row>
    <row r="22" spans="1:11" s="25" customFormat="1" ht="21" customHeight="1" x14ac:dyDescent="0.25">
      <c r="A22" s="30" t="s">
        <v>108</v>
      </c>
      <c r="B22" s="35"/>
      <c r="C22" s="32"/>
      <c r="D22" s="32"/>
      <c r="E22" s="32"/>
      <c r="F22" s="32"/>
      <c r="G22" s="32"/>
      <c r="H22" s="32"/>
      <c r="I22" s="32"/>
      <c r="J22" s="32"/>
    </row>
    <row r="23" spans="1:11" s="56" customFormat="1" ht="14.25" customHeight="1" x14ac:dyDescent="0.2">
      <c r="A23" s="54">
        <v>1</v>
      </c>
      <c r="B23" s="55" t="s">
        <v>85</v>
      </c>
      <c r="C23" s="55"/>
      <c r="D23" s="55"/>
      <c r="E23" s="55"/>
      <c r="F23" s="55"/>
      <c r="G23" s="55"/>
      <c r="H23" s="55"/>
      <c r="I23" s="55"/>
      <c r="J23" s="55"/>
    </row>
    <row r="24" spans="1:11" s="56" customFormat="1" ht="12" customHeight="1" x14ac:dyDescent="0.2">
      <c r="A24" s="54">
        <v>2</v>
      </c>
      <c r="B24" s="55" t="s">
        <v>48</v>
      </c>
      <c r="C24" s="55"/>
      <c r="D24" s="55"/>
      <c r="E24" s="55"/>
      <c r="F24" s="55"/>
      <c r="G24" s="55"/>
      <c r="H24" s="55"/>
      <c r="I24" s="55"/>
      <c r="J24" s="55"/>
    </row>
    <row r="25" spans="1:11" s="25" customFormat="1" ht="27" customHeight="1" x14ac:dyDescent="0.25">
      <c r="A25" s="30" t="s">
        <v>109</v>
      </c>
      <c r="B25" s="35"/>
      <c r="C25" s="32"/>
      <c r="D25" s="32"/>
      <c r="E25" s="32"/>
      <c r="F25" s="32"/>
      <c r="G25" s="32"/>
      <c r="H25" s="32"/>
      <c r="I25" s="32"/>
      <c r="J25" s="32"/>
    </row>
    <row r="26" spans="1:11" s="26" customFormat="1" ht="18" customHeight="1" x14ac:dyDescent="0.2">
      <c r="A26" s="39">
        <v>1</v>
      </c>
      <c r="B26" s="36" t="s">
        <v>98</v>
      </c>
      <c r="C26" s="36"/>
      <c r="D26" s="36"/>
      <c r="E26" s="36"/>
      <c r="F26" s="36"/>
      <c r="G26" s="36"/>
      <c r="H26" s="36"/>
      <c r="I26" s="36"/>
      <c r="J26" s="36"/>
    </row>
    <row r="27" spans="1:11" s="25" customFormat="1" ht="16.5" customHeight="1" x14ac:dyDescent="0.2">
      <c r="A27" s="31" t="s">
        <v>40</v>
      </c>
      <c r="B27" s="37" t="s">
        <v>30</v>
      </c>
      <c r="C27" s="32"/>
      <c r="D27" s="32"/>
      <c r="E27" s="32"/>
      <c r="F27" s="32"/>
      <c r="G27" s="32"/>
      <c r="H27" s="32"/>
      <c r="I27" s="32"/>
      <c r="J27" s="32"/>
    </row>
    <row r="28" spans="1:11" s="25" customFormat="1" ht="13.5" customHeight="1" x14ac:dyDescent="0.2">
      <c r="A28" s="31"/>
      <c r="B28" s="37" t="s">
        <v>31</v>
      </c>
      <c r="C28" s="32"/>
      <c r="D28" s="32"/>
      <c r="E28" s="32"/>
      <c r="F28" s="32"/>
      <c r="G28" s="32"/>
      <c r="H28" s="32"/>
      <c r="I28" s="32"/>
      <c r="J28" s="32"/>
    </row>
    <row r="29" spans="1:11" s="25" customFormat="1" ht="12.75" x14ac:dyDescent="0.2">
      <c r="A29" s="31"/>
      <c r="B29" s="37" t="s">
        <v>32</v>
      </c>
      <c r="C29" s="32"/>
      <c r="D29" s="32"/>
      <c r="E29" s="32"/>
      <c r="F29" s="32"/>
      <c r="G29" s="32"/>
      <c r="H29" s="32"/>
      <c r="I29" s="32"/>
      <c r="J29" s="32"/>
    </row>
    <row r="30" spans="1:11" s="26" customFormat="1" ht="17.25" customHeight="1" x14ac:dyDescent="0.2">
      <c r="A30" s="39"/>
      <c r="B30" s="36" t="s">
        <v>99</v>
      </c>
      <c r="C30" s="36"/>
      <c r="D30" s="36"/>
      <c r="E30" s="36"/>
      <c r="F30" s="36"/>
      <c r="G30" s="36"/>
      <c r="H30" s="36"/>
      <c r="I30" s="36"/>
      <c r="J30" s="36"/>
    </row>
    <row r="31" spans="1:11" s="25" customFormat="1" ht="12.75" x14ac:dyDescent="0.2">
      <c r="A31" s="31"/>
      <c r="B31" s="34" t="s">
        <v>41</v>
      </c>
      <c r="C31" s="32"/>
      <c r="D31" s="32"/>
      <c r="E31" s="32"/>
      <c r="F31" s="32"/>
      <c r="G31" s="32"/>
      <c r="H31" s="32"/>
      <c r="I31" s="32"/>
      <c r="J31" s="32"/>
    </row>
    <row r="32" spans="1:11" s="25" customFormat="1" ht="6.75" customHeight="1" x14ac:dyDescent="0.2">
      <c r="A32" s="31"/>
      <c r="B32" s="34"/>
      <c r="C32" s="32"/>
      <c r="D32" s="32"/>
      <c r="E32" s="32"/>
      <c r="F32" s="32"/>
      <c r="G32" s="32"/>
      <c r="H32" s="32"/>
      <c r="I32" s="32"/>
      <c r="J32" s="32"/>
    </row>
    <row r="33" spans="1:10" s="25" customFormat="1" ht="12.75" x14ac:dyDescent="0.2">
      <c r="A33" s="31"/>
      <c r="B33" s="36" t="s">
        <v>100</v>
      </c>
      <c r="C33" s="36"/>
      <c r="D33" s="36"/>
      <c r="E33" s="36"/>
      <c r="F33" s="32"/>
      <c r="G33" s="32"/>
      <c r="H33" s="32"/>
      <c r="I33" s="32"/>
    </row>
    <row r="34" spans="1:10" s="25" customFormat="1" ht="15" customHeight="1" x14ac:dyDescent="0.2">
      <c r="A34" s="31"/>
      <c r="B34" s="36" t="s">
        <v>103</v>
      </c>
      <c r="C34" s="36"/>
      <c r="D34" s="36"/>
      <c r="E34" s="36"/>
      <c r="F34" s="32"/>
      <c r="G34" s="32"/>
      <c r="H34" s="32"/>
      <c r="I34" s="32"/>
      <c r="J34" s="32"/>
    </row>
    <row r="35" spans="1:10" s="25" customFormat="1" ht="12.75" x14ac:dyDescent="0.2">
      <c r="A35" s="31"/>
      <c r="B35" s="36" t="s">
        <v>113</v>
      </c>
      <c r="C35" s="36"/>
      <c r="D35" s="36"/>
      <c r="E35" s="36"/>
      <c r="F35" s="32"/>
      <c r="G35" s="32"/>
      <c r="H35" s="32"/>
      <c r="I35" s="32"/>
      <c r="J35" s="32"/>
    </row>
    <row r="36" spans="1:10" s="25" customFormat="1" ht="14.25" customHeight="1" x14ac:dyDescent="0.2">
      <c r="A36" s="31"/>
      <c r="B36" s="36" t="s">
        <v>101</v>
      </c>
      <c r="C36" s="36"/>
      <c r="D36" s="36"/>
      <c r="E36" s="36"/>
      <c r="F36" s="32"/>
      <c r="G36" s="32"/>
      <c r="H36" s="32"/>
      <c r="I36" s="32"/>
      <c r="J36" s="32"/>
    </row>
    <row r="37" spans="1:10" s="25" customFormat="1" ht="14.25" customHeight="1" x14ac:dyDescent="0.2">
      <c r="A37" s="31"/>
      <c r="B37" s="36" t="s">
        <v>104</v>
      </c>
      <c r="C37" s="36"/>
      <c r="D37" s="36"/>
      <c r="E37" s="36"/>
      <c r="F37" s="32"/>
      <c r="G37" s="32"/>
      <c r="H37" s="32"/>
      <c r="I37" s="32"/>
      <c r="J37" s="32"/>
    </row>
    <row r="38" spans="1:10" s="25" customFormat="1" ht="14.25" customHeight="1" x14ac:dyDescent="0.2">
      <c r="A38" s="31"/>
      <c r="B38" s="36" t="s">
        <v>102</v>
      </c>
      <c r="C38" s="36"/>
      <c r="D38" s="36"/>
      <c r="E38" s="36"/>
      <c r="F38" s="32"/>
      <c r="G38" s="32"/>
      <c r="H38" s="32"/>
      <c r="I38" s="32"/>
      <c r="J38" s="32"/>
    </row>
    <row r="39" spans="1:10" s="25" customFormat="1" ht="15.75" customHeight="1" x14ac:dyDescent="0.2">
      <c r="A39" s="39">
        <v>2</v>
      </c>
      <c r="B39" s="36" t="s">
        <v>112</v>
      </c>
      <c r="C39" s="32"/>
      <c r="D39" s="32"/>
      <c r="E39" s="32"/>
      <c r="F39" s="32"/>
      <c r="G39" s="32"/>
      <c r="H39" s="32"/>
      <c r="I39" s="32"/>
      <c r="J39" s="32"/>
    </row>
    <row r="40" spans="1:10" s="25" customFormat="1" ht="15.75" customHeight="1" x14ac:dyDescent="0.2">
      <c r="A40" s="31"/>
      <c r="B40" s="36" t="s">
        <v>111</v>
      </c>
      <c r="C40" s="32"/>
      <c r="D40" s="32"/>
      <c r="E40" s="32"/>
      <c r="F40" s="32"/>
      <c r="G40" s="32"/>
      <c r="H40" s="32"/>
      <c r="I40" s="32"/>
      <c r="J40" s="32"/>
    </row>
    <row r="41" spans="1:10" s="26" customFormat="1" ht="17.25" customHeight="1" x14ac:dyDescent="0.2">
      <c r="A41" s="31" t="s">
        <v>86</v>
      </c>
      <c r="B41" s="32"/>
      <c r="C41" s="32"/>
      <c r="D41" s="32"/>
      <c r="E41" s="32"/>
      <c r="F41" s="32"/>
      <c r="G41" s="32"/>
      <c r="H41" s="32"/>
      <c r="I41" s="32"/>
      <c r="J41" s="32"/>
    </row>
    <row r="42" spans="1:10" s="25" customFormat="1" ht="12.75" x14ac:dyDescent="0.2">
      <c r="A42" s="31"/>
      <c r="B42" s="57" t="s">
        <v>42</v>
      </c>
      <c r="C42" s="32"/>
      <c r="D42" s="32"/>
      <c r="E42" s="32"/>
      <c r="F42" s="32"/>
      <c r="G42" s="32"/>
      <c r="H42" s="32"/>
      <c r="I42" s="32"/>
      <c r="J42" s="32"/>
    </row>
    <row r="43" spans="1:10" s="25" customFormat="1" ht="12.75" x14ac:dyDescent="0.2">
      <c r="A43" s="31"/>
      <c r="B43" s="57" t="s">
        <v>33</v>
      </c>
      <c r="C43" s="32"/>
      <c r="D43" s="32"/>
      <c r="E43" s="32"/>
      <c r="F43" s="32"/>
      <c r="G43" s="32"/>
      <c r="H43" s="32"/>
      <c r="I43" s="32"/>
      <c r="J43" s="32"/>
    </row>
    <row r="44" spans="1:10" s="25" customFormat="1" ht="12.75" x14ac:dyDescent="0.2">
      <c r="A44" s="31"/>
      <c r="B44" s="57" t="s">
        <v>34</v>
      </c>
      <c r="C44" s="32"/>
      <c r="D44" s="32"/>
      <c r="E44" s="32"/>
      <c r="F44" s="32"/>
      <c r="G44" s="32"/>
      <c r="H44" s="32"/>
      <c r="I44" s="32"/>
      <c r="J44" s="32"/>
    </row>
    <row r="45" spans="1:10" ht="4.5" customHeight="1" x14ac:dyDescent="0.25">
      <c r="A45" s="58"/>
      <c r="B45" s="59"/>
      <c r="C45" s="59"/>
      <c r="D45" s="59"/>
      <c r="E45" s="59"/>
      <c r="F45" s="59"/>
      <c r="G45" s="59"/>
      <c r="H45" s="59"/>
      <c r="I45" s="59"/>
      <c r="J45" s="59"/>
    </row>
    <row r="46" spans="1:10" s="26" customFormat="1" ht="12.75" x14ac:dyDescent="0.2">
      <c r="A46" s="31" t="s">
        <v>43</v>
      </c>
      <c r="B46" s="32"/>
      <c r="C46" s="32"/>
      <c r="D46" s="32"/>
      <c r="E46" s="32"/>
      <c r="F46" s="32"/>
      <c r="G46" s="32"/>
      <c r="H46" s="32"/>
      <c r="I46" s="32"/>
      <c r="J46" s="32"/>
    </row>
    <row r="47" spans="1:10" x14ac:dyDescent="0.25">
      <c r="A47" s="58"/>
      <c r="B47" s="57" t="s">
        <v>60</v>
      </c>
      <c r="C47" s="32"/>
      <c r="D47" s="59"/>
      <c r="E47" s="59"/>
      <c r="F47" s="59"/>
      <c r="G47" s="59"/>
      <c r="H47" s="59"/>
      <c r="I47" s="59"/>
      <c r="J47" s="59"/>
    </row>
    <row r="48" spans="1:10" x14ac:dyDescent="0.25">
      <c r="A48" s="58"/>
      <c r="B48" s="57" t="s">
        <v>35</v>
      </c>
      <c r="C48" s="32"/>
      <c r="D48" s="59"/>
      <c r="E48" s="59"/>
      <c r="F48" s="59"/>
      <c r="G48" s="59"/>
      <c r="H48" s="59"/>
      <c r="I48" s="59"/>
      <c r="J48" s="59"/>
    </row>
    <row r="49" spans="1:10" x14ac:dyDescent="0.25">
      <c r="A49" s="29"/>
      <c r="B49" s="28"/>
      <c r="C49" s="32"/>
      <c r="D49" s="28"/>
      <c r="E49" s="28"/>
      <c r="F49" s="28"/>
      <c r="G49" s="28"/>
      <c r="H49" s="28"/>
      <c r="I49" s="28"/>
      <c r="J49" s="28"/>
    </row>
  </sheetData>
  <sheetProtection sheet="1" objects="1" scenarios="1" selectLockedCells="1"/>
  <mergeCells count="1">
    <mergeCell ref="A5:J5"/>
  </mergeCells>
  <hyperlinks>
    <hyperlink ref="B31" r:id="rId1" xr:uid="{00000000-0004-0000-0000-000000000000}"/>
    <hyperlink ref="B11" r:id="rId2" display="correct academic year calendar.  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J53"/>
  <sheetViews>
    <sheetView showGridLines="0" topLeftCell="A20" zoomScaleNormal="100" workbookViewId="0">
      <selection activeCell="C27" sqref="C27"/>
    </sheetView>
  </sheetViews>
  <sheetFormatPr defaultRowHeight="15" x14ac:dyDescent="0.25"/>
  <cols>
    <col min="1" max="1" width="9.140625" customWidth="1"/>
    <col min="2" max="2" width="18.140625" customWidth="1"/>
    <col min="3" max="3" width="12.42578125" style="20" customWidth="1"/>
    <col min="4" max="4" width="13.42578125" style="3" customWidth="1"/>
    <col min="5" max="5" width="12" style="3" customWidth="1"/>
    <col min="6" max="6" width="12.140625" style="3" customWidth="1"/>
    <col min="7" max="7" width="10.85546875" customWidth="1"/>
    <col min="8" max="8" width="10.7109375" customWidth="1"/>
    <col min="9" max="9" width="10.7109375" bestFit="1" customWidth="1"/>
    <col min="10" max="10" width="5.7109375" customWidth="1"/>
  </cols>
  <sheetData>
    <row r="1" spans="1:10" ht="18.75" x14ac:dyDescent="0.3">
      <c r="A1" s="79" t="s">
        <v>61</v>
      </c>
      <c r="B1" s="48"/>
      <c r="C1" s="63"/>
      <c r="D1" s="60"/>
      <c r="E1" s="60"/>
      <c r="F1" s="60"/>
      <c r="G1" s="48"/>
    </row>
    <row r="2" spans="1:10" ht="21.75" customHeight="1" x14ac:dyDescent="0.25">
      <c r="A2" s="115" t="s">
        <v>16</v>
      </c>
      <c r="B2" s="116"/>
      <c r="C2" s="116"/>
      <c r="D2" s="116"/>
      <c r="E2" s="116"/>
      <c r="F2" s="17"/>
      <c r="G2" s="17"/>
    </row>
    <row r="3" spans="1:10" ht="6" customHeight="1" x14ac:dyDescent="0.25">
      <c r="A3" s="44"/>
      <c r="B3" s="45"/>
      <c r="C3" s="64"/>
      <c r="D3" s="45"/>
      <c r="E3" s="45"/>
      <c r="F3" s="17"/>
      <c r="G3" s="17"/>
    </row>
    <row r="4" spans="1:10" ht="18" customHeight="1" x14ac:dyDescent="0.25">
      <c r="A4" s="1" t="s">
        <v>67</v>
      </c>
      <c r="C4" s="65" t="s">
        <v>121</v>
      </c>
      <c r="E4" s="83">
        <f>VLOOKUP(C4,'Service Period Dropdown Info'!A1:P8,2,FALSE)</f>
        <v>45922</v>
      </c>
    </row>
    <row r="5" spans="1:10" ht="8.25" customHeight="1" x14ac:dyDescent="0.25"/>
    <row r="6" spans="1:10" x14ac:dyDescent="0.25">
      <c r="A6" s="27" t="s">
        <v>50</v>
      </c>
      <c r="F6" s="22" t="s">
        <v>51</v>
      </c>
      <c r="G6" s="46" t="s">
        <v>53</v>
      </c>
      <c r="J6" s="17"/>
    </row>
    <row r="7" spans="1:10" x14ac:dyDescent="0.25">
      <c r="A7" s="23" t="s">
        <v>0</v>
      </c>
      <c r="B7" s="4"/>
      <c r="C7" s="66"/>
      <c r="F7" s="22" t="s">
        <v>52</v>
      </c>
      <c r="G7" s="46" t="s">
        <v>54</v>
      </c>
    </row>
    <row r="8" spans="1:10" x14ac:dyDescent="0.25">
      <c r="A8" s="14" t="s">
        <v>1</v>
      </c>
      <c r="B8" s="4"/>
      <c r="C8" s="105">
        <f>VLOOKUP($C$4,'Service Period Dropdown Info'!A1:P10,2,FALSE)</f>
        <v>45922</v>
      </c>
      <c r="D8" s="9" t="s">
        <v>18</v>
      </c>
      <c r="E8" s="7">
        <f>NETWORKDAYS(C8,C9)</f>
        <v>60</v>
      </c>
      <c r="F8" s="2">
        <f>E8*$E$29</f>
        <v>33333.333333333336</v>
      </c>
      <c r="G8" s="47">
        <f>F8*C29</f>
        <v>33333.333333333336</v>
      </c>
    </row>
    <row r="9" spans="1:10" x14ac:dyDescent="0.25">
      <c r="A9" s="14" t="s">
        <v>2</v>
      </c>
      <c r="B9" s="4"/>
      <c r="C9" s="105">
        <f>VLOOKUP($C$4,'Service Period Dropdown Info'!A3:P10,3,FALSE)</f>
        <v>46004</v>
      </c>
      <c r="D9" s="10"/>
      <c r="F9" s="2"/>
      <c r="G9" s="48"/>
    </row>
    <row r="10" spans="1:10" ht="20.25" customHeight="1" x14ac:dyDescent="0.25">
      <c r="A10" s="23" t="s">
        <v>22</v>
      </c>
      <c r="B10" s="4"/>
      <c r="C10" s="106"/>
      <c r="D10" s="10"/>
      <c r="F10" s="2"/>
      <c r="G10" s="48"/>
    </row>
    <row r="11" spans="1:10" x14ac:dyDescent="0.25">
      <c r="A11" s="14" t="s">
        <v>1</v>
      </c>
      <c r="B11" s="4"/>
      <c r="C11" s="107"/>
      <c r="D11" s="9" t="s">
        <v>19</v>
      </c>
      <c r="E11" s="7">
        <f>NETWORKDAYS(C11,C12)</f>
        <v>0</v>
      </c>
      <c r="F11" s="2">
        <f>E11*$E$29</f>
        <v>0</v>
      </c>
      <c r="G11" s="47">
        <f>F11*$C$29</f>
        <v>0</v>
      </c>
    </row>
    <row r="12" spans="1:10" x14ac:dyDescent="0.25">
      <c r="A12" s="14" t="s">
        <v>2</v>
      </c>
      <c r="B12" s="4"/>
      <c r="C12" s="107"/>
      <c r="D12" s="10"/>
      <c r="E12" s="7"/>
      <c r="F12" s="16"/>
      <c r="G12" s="47"/>
    </row>
    <row r="13" spans="1:10" ht="19.5" customHeight="1" x14ac:dyDescent="0.25">
      <c r="A13" s="23" t="s">
        <v>21</v>
      </c>
      <c r="B13" s="4"/>
      <c r="C13" s="66"/>
      <c r="D13" s="10"/>
      <c r="E13" s="7"/>
      <c r="F13" s="2"/>
      <c r="G13" s="47"/>
    </row>
    <row r="14" spans="1:10" x14ac:dyDescent="0.25">
      <c r="A14" s="14" t="s">
        <v>1</v>
      </c>
      <c r="B14" s="4"/>
      <c r="C14" s="108"/>
      <c r="D14" s="9" t="s">
        <v>20</v>
      </c>
      <c r="E14" s="7">
        <f>NETWORKDAYS(C14,C15)</f>
        <v>0</v>
      </c>
      <c r="F14" s="13">
        <f>(E14*$E$29)*-1</f>
        <v>0</v>
      </c>
      <c r="G14" s="47">
        <f>F14*$C$29</f>
        <v>0</v>
      </c>
    </row>
    <row r="15" spans="1:10" x14ac:dyDescent="0.25">
      <c r="A15" s="14" t="s">
        <v>2</v>
      </c>
      <c r="B15" s="4"/>
      <c r="C15" s="108"/>
      <c r="D15" s="10"/>
      <c r="E15" s="7"/>
      <c r="F15" s="13"/>
      <c r="G15" s="47"/>
    </row>
    <row r="16" spans="1:10" ht="19.5" customHeight="1" x14ac:dyDescent="0.25">
      <c r="A16" s="23" t="s">
        <v>38</v>
      </c>
      <c r="B16" s="4"/>
      <c r="C16" s="109"/>
      <c r="D16" s="10"/>
      <c r="E16" s="7"/>
      <c r="F16" s="13"/>
      <c r="G16" s="47"/>
    </row>
    <row r="17" spans="1:8" ht="15.75" customHeight="1" x14ac:dyDescent="0.25">
      <c r="A17" s="14" t="s">
        <v>1</v>
      </c>
      <c r="B17" s="4"/>
      <c r="C17" s="108"/>
      <c r="D17" s="9" t="s">
        <v>39</v>
      </c>
      <c r="E17" s="7">
        <f>NETWORKDAYS(C17,C18)</f>
        <v>0</v>
      </c>
      <c r="F17" s="13">
        <f>(E17*$E$29)*-1</f>
        <v>0</v>
      </c>
      <c r="G17" s="47">
        <f>F17*$C$29</f>
        <v>0</v>
      </c>
    </row>
    <row r="18" spans="1:8" x14ac:dyDescent="0.25">
      <c r="A18" s="14" t="s">
        <v>2</v>
      </c>
      <c r="B18" s="4"/>
      <c r="C18" s="108"/>
      <c r="D18" s="10"/>
      <c r="E18" s="7"/>
      <c r="F18" s="2"/>
      <c r="G18" s="47"/>
    </row>
    <row r="19" spans="1:8" ht="23.25" customHeight="1" x14ac:dyDescent="0.25">
      <c r="A19" s="24" t="s">
        <v>36</v>
      </c>
      <c r="B19" s="4"/>
      <c r="C19" s="110"/>
      <c r="D19" s="10"/>
      <c r="F19" s="2"/>
      <c r="G19" s="47"/>
    </row>
    <row r="20" spans="1:8" x14ac:dyDescent="0.25">
      <c r="A20" s="14" t="s">
        <v>1</v>
      </c>
      <c r="B20" s="4"/>
      <c r="C20" s="108"/>
      <c r="D20" s="11" t="s">
        <v>23</v>
      </c>
      <c r="E20" s="7">
        <f>IF((C20:C21)=0,0, NETWORKDAYS(C20,C21))</f>
        <v>0</v>
      </c>
      <c r="F20" s="2">
        <f>E20*E29</f>
        <v>0</v>
      </c>
      <c r="G20" s="47">
        <f>F20*$C$29</f>
        <v>0</v>
      </c>
      <c r="H20" s="2"/>
    </row>
    <row r="21" spans="1:8" x14ac:dyDescent="0.25">
      <c r="A21" s="14" t="s">
        <v>2</v>
      </c>
      <c r="B21" s="4"/>
      <c r="C21" s="108"/>
      <c r="D21" s="11"/>
      <c r="E21" s="7"/>
      <c r="F21" s="2"/>
      <c r="G21" s="47"/>
    </row>
    <row r="22" spans="1:8" x14ac:dyDescent="0.25">
      <c r="A22" s="14"/>
      <c r="B22" s="4"/>
      <c r="C22" s="111"/>
      <c r="D22" s="11"/>
      <c r="E22" s="7"/>
      <c r="F22" s="2"/>
      <c r="G22" s="47"/>
    </row>
    <row r="23" spans="1:8" x14ac:dyDescent="0.25">
      <c r="A23" s="14" t="s">
        <v>1</v>
      </c>
      <c r="B23" s="4"/>
      <c r="C23" s="108"/>
      <c r="D23" s="11" t="s">
        <v>23</v>
      </c>
      <c r="E23" s="7">
        <f>IF((C23:C24)=0,0, NETWORKDAYS(C23,C24))</f>
        <v>0</v>
      </c>
      <c r="F23" s="2">
        <f>E23*E29</f>
        <v>0</v>
      </c>
      <c r="G23" s="47">
        <f>F23*$C$29</f>
        <v>0</v>
      </c>
    </row>
    <row r="24" spans="1:8" x14ac:dyDescent="0.25">
      <c r="A24" s="14" t="s">
        <v>2</v>
      </c>
      <c r="B24" s="4"/>
      <c r="C24" s="108"/>
      <c r="D24" s="10"/>
      <c r="F24"/>
      <c r="G24" s="47"/>
    </row>
    <row r="25" spans="1:8" x14ac:dyDescent="0.25">
      <c r="A25" s="5"/>
      <c r="D25" s="10"/>
      <c r="E25" s="50" t="s">
        <v>24</v>
      </c>
      <c r="F25" s="49">
        <f>F11+F20+F23</f>
        <v>0</v>
      </c>
      <c r="G25" s="49">
        <f>G11+G20+G23</f>
        <v>0</v>
      </c>
    </row>
    <row r="26" spans="1:8" x14ac:dyDescent="0.25">
      <c r="A26" s="27" t="s">
        <v>49</v>
      </c>
      <c r="D26" s="10"/>
      <c r="F26"/>
    </row>
    <row r="27" spans="1:8" ht="17.25" customHeight="1" x14ac:dyDescent="0.25">
      <c r="A27" s="5" t="s">
        <v>17</v>
      </c>
      <c r="C27" s="70">
        <v>100000</v>
      </c>
      <c r="D27" s="9" t="s">
        <v>3</v>
      </c>
      <c r="E27" s="51">
        <f>C27/3</f>
        <v>33333.333333333336</v>
      </c>
      <c r="F27" s="2"/>
      <c r="G27" s="15"/>
    </row>
    <row r="28" spans="1:8" ht="8.25" customHeight="1" x14ac:dyDescent="0.25">
      <c r="A28" s="5"/>
      <c r="C28" s="71"/>
      <c r="D28" s="10"/>
      <c r="E28" s="43"/>
      <c r="F28"/>
    </row>
    <row r="29" spans="1:8" x14ac:dyDescent="0.25">
      <c r="A29" s="5" t="s">
        <v>25</v>
      </c>
      <c r="C29" s="72">
        <v>1</v>
      </c>
      <c r="D29" s="9" t="s">
        <v>27</v>
      </c>
      <c r="E29" s="51">
        <f>(E27/E8)</f>
        <v>555.55555555555554</v>
      </c>
      <c r="F29"/>
    </row>
    <row r="30" spans="1:8" ht="7.5" customHeight="1" x14ac:dyDescent="0.25">
      <c r="A30" s="5"/>
      <c r="E30" s="7"/>
      <c r="F30"/>
    </row>
    <row r="31" spans="1:8" x14ac:dyDescent="0.25">
      <c r="A31" s="5" t="s">
        <v>4</v>
      </c>
      <c r="C31" s="73">
        <f>((E20+E23+E11)*E29)*C29</f>
        <v>0</v>
      </c>
      <c r="D31" s="3" t="str">
        <f>IF(C31&gt;E27, "Too many days accounted for. Fix Dates.", " ")</f>
        <v xml:space="preserve"> </v>
      </c>
      <c r="E31" s="8"/>
      <c r="F31" s="8"/>
    </row>
    <row r="32" spans="1:8" x14ac:dyDescent="0.25">
      <c r="A32" s="5" t="s">
        <v>55</v>
      </c>
      <c r="C32" s="73">
        <f>C27/12</f>
        <v>8333.3333333333339</v>
      </c>
    </row>
    <row r="33" spans="1:7" x14ac:dyDescent="0.25">
      <c r="A33" s="5" t="s">
        <v>28</v>
      </c>
      <c r="C33" s="74">
        <f>C32*C29</f>
        <v>8333.3333333333339</v>
      </c>
      <c r="G33" s="2"/>
    </row>
    <row r="34" spans="1:7" ht="8.25" customHeight="1" x14ac:dyDescent="0.25">
      <c r="A34" s="5"/>
      <c r="G34" s="2"/>
    </row>
    <row r="35" spans="1:7" x14ac:dyDescent="0.25">
      <c r="A35" s="27" t="s">
        <v>59</v>
      </c>
      <c r="G35" s="2"/>
    </row>
    <row r="36" spans="1:7" x14ac:dyDescent="0.25">
      <c r="A36" s="5"/>
      <c r="C36" s="41" t="s">
        <v>11</v>
      </c>
      <c r="D36" s="6" t="s">
        <v>12</v>
      </c>
      <c r="E36" s="6" t="s">
        <v>13</v>
      </c>
      <c r="F36" s="6" t="s">
        <v>14</v>
      </c>
    </row>
    <row r="37" spans="1:7" x14ac:dyDescent="0.25">
      <c r="A37" s="14" t="s">
        <v>46</v>
      </c>
      <c r="B37" s="4"/>
      <c r="C37" s="101" t="str">
        <f>VLOOKUP($C$4,'Service Period Dropdown Info'!$A$1:$P$10,4,FALSE)</f>
        <v>July</v>
      </c>
      <c r="D37" s="101" t="str">
        <f>VLOOKUP($C$4,'Service Period Dropdown Info'!$A$1:$P$10,6,FALSE)</f>
        <v>August</v>
      </c>
      <c r="E37" s="101" t="str">
        <f>VLOOKUP($C$4,'Service Period Dropdown Info'!$A$1:$P$10,8,FALSE)</f>
        <v>Sept</v>
      </c>
      <c r="F37" s="101" t="str">
        <f>VLOOKUP($C$4,'Service Period Dropdown Info'!$A$1:$P$10,10,FALSE)</f>
        <v>Oct</v>
      </c>
    </row>
    <row r="38" spans="1:7" x14ac:dyDescent="0.25">
      <c r="A38" s="14" t="s">
        <v>57</v>
      </c>
      <c r="B38" s="4"/>
      <c r="C38" s="102">
        <f>C32/C40</f>
        <v>362.31884057971018</v>
      </c>
      <c r="D38" s="103">
        <f>C32/D40</f>
        <v>396.82539682539687</v>
      </c>
      <c r="E38" s="103">
        <f>$C$32/E40</f>
        <v>378.78787878787881</v>
      </c>
      <c r="F38" s="103">
        <f>$C$32/F40</f>
        <v>362.31884057971018</v>
      </c>
    </row>
    <row r="39" spans="1:7" x14ac:dyDescent="0.25">
      <c r="A39" s="14" t="s">
        <v>58</v>
      </c>
      <c r="B39" s="4"/>
      <c r="C39" s="75">
        <f>(C32/C40)*C29</f>
        <v>362.31884057971018</v>
      </c>
      <c r="D39" s="18">
        <f>(C32/D40)*C29</f>
        <v>396.82539682539687</v>
      </c>
      <c r="E39" s="18">
        <f>(C32/E40)*C29</f>
        <v>378.78787878787881</v>
      </c>
      <c r="F39" s="18">
        <f>(C32/F40)*C29</f>
        <v>362.31884057971018</v>
      </c>
    </row>
    <row r="40" spans="1:7" x14ac:dyDescent="0.25">
      <c r="A40" s="117" t="s">
        <v>5</v>
      </c>
      <c r="B40" s="118"/>
      <c r="C40" s="86">
        <f>VLOOKUP($C$4,'Service Period Dropdown Info'!$A$1:$P$10,5,FALSE)</f>
        <v>23</v>
      </c>
      <c r="D40" s="85">
        <f>VLOOKUP($C$4,'Service Period Dropdown Info'!$A$1:$P$10,7,FALSE)</f>
        <v>21</v>
      </c>
      <c r="E40" s="86">
        <f>VLOOKUP($C$4,'Service Period Dropdown Info'!$A$1:$P$10,9,FALSE)</f>
        <v>22</v>
      </c>
      <c r="F40" s="86">
        <f>VLOOKUP($C$4,'Service Period Dropdown Info'!$A$1:$P$10,11,FALSE)</f>
        <v>23</v>
      </c>
    </row>
    <row r="41" spans="1:7" x14ac:dyDescent="0.25">
      <c r="A41" s="14" t="s">
        <v>37</v>
      </c>
      <c r="B41" s="4"/>
      <c r="C41" s="21">
        <f>IF(C31&lt;C33,C31/C39,C33/C39)</f>
        <v>0</v>
      </c>
      <c r="D41" s="21">
        <f>IF(C43&gt;=C33,D40, C43/D39)</f>
        <v>0</v>
      </c>
      <c r="E41" s="21">
        <f>IF(D43&gt;=C33,E40, D43/E39)</f>
        <v>0</v>
      </c>
      <c r="F41" s="21">
        <f>IF(E43&gt;=C33,F40, E43/F39)</f>
        <v>0</v>
      </c>
    </row>
    <row r="42" spans="1:7" x14ac:dyDescent="0.25">
      <c r="A42" s="14" t="s">
        <v>45</v>
      </c>
      <c r="B42" s="4"/>
      <c r="C42" s="75">
        <f>C41*(C38*$C$29)</f>
        <v>0</v>
      </c>
      <c r="D42" s="104">
        <f>D41*(D38*$C$29)</f>
        <v>0</v>
      </c>
      <c r="E42" s="104">
        <f>E41*(E38*$C$29)</f>
        <v>0</v>
      </c>
      <c r="F42" s="104">
        <f>F41*(F38*$C$29)</f>
        <v>0</v>
      </c>
    </row>
    <row r="43" spans="1:7" x14ac:dyDescent="0.25">
      <c r="A43" s="14" t="s">
        <v>44</v>
      </c>
      <c r="B43" s="4"/>
      <c r="C43" s="75">
        <f>IF(C31&gt;0,C31-(C41*C39),0)</f>
        <v>0</v>
      </c>
      <c r="D43" s="18">
        <f>C43-(D41*D39)</f>
        <v>0</v>
      </c>
      <c r="E43" s="18">
        <f>D43-(E41*E39)</f>
        <v>0</v>
      </c>
      <c r="F43" s="18">
        <f>E43-(F41*F39)</f>
        <v>0</v>
      </c>
    </row>
    <row r="44" spans="1:7" x14ac:dyDescent="0.25">
      <c r="A44" s="14" t="s">
        <v>15</v>
      </c>
      <c r="B44" s="4"/>
      <c r="C44" s="76" t="str">
        <f>IF(C41=C40,"ALL PAY", "MANUAL TRANS")</f>
        <v>MANUAL TRANS</v>
      </c>
      <c r="D44" s="76" t="str">
        <f>IF(D41=D40,"ALL PAY", "MANUAL TRANS")</f>
        <v>MANUAL TRANS</v>
      </c>
      <c r="E44" s="19" t="str">
        <f>IF(E41=E40,"ALL PAY", "MANUAL TRANS")</f>
        <v>MANUAL TRANS</v>
      </c>
      <c r="F44" s="19" t="str">
        <f>IF(F41=F40,"ALL PAY", "MANUAL TRANS")</f>
        <v>MANUAL TRANS</v>
      </c>
    </row>
    <row r="45" spans="1:7" ht="6.75" customHeight="1" x14ac:dyDescent="0.25">
      <c r="A45" s="5"/>
      <c r="C45" s="77"/>
      <c r="D45" s="12"/>
      <c r="E45" s="12"/>
    </row>
    <row r="46" spans="1:7" x14ac:dyDescent="0.25">
      <c r="A46" s="5" t="s">
        <v>88</v>
      </c>
    </row>
    <row r="47" spans="1:7" x14ac:dyDescent="0.25">
      <c r="A47" s="5" t="s">
        <v>89</v>
      </c>
      <c r="B47" s="2"/>
    </row>
    <row r="48" spans="1:7" x14ac:dyDescent="0.25">
      <c r="A48" s="5"/>
      <c r="B48" s="2"/>
    </row>
    <row r="49" spans="1:2" x14ac:dyDescent="0.25">
      <c r="A49" s="5"/>
      <c r="B49" s="2"/>
    </row>
    <row r="50" spans="1:2" x14ac:dyDescent="0.25">
      <c r="B50" s="2"/>
    </row>
    <row r="51" spans="1:2" x14ac:dyDescent="0.25">
      <c r="A51" s="15"/>
      <c r="B51" s="2"/>
    </row>
    <row r="52" spans="1:2" x14ac:dyDescent="0.25">
      <c r="A52" s="15"/>
    </row>
    <row r="53" spans="1:2" x14ac:dyDescent="0.25">
      <c r="A53" s="15"/>
    </row>
  </sheetData>
  <sheetProtection sheet="1" selectLockedCells="1"/>
  <mergeCells count="2">
    <mergeCell ref="A2:E2"/>
    <mergeCell ref="A40:B40"/>
  </mergeCells>
  <conditionalFormatting sqref="C31">
    <cfRule type="cellIs" dxfId="12" priority="3" operator="greaterThan">
      <formula>$E$27</formula>
    </cfRule>
  </conditionalFormatting>
  <conditionalFormatting sqref="C41">
    <cfRule type="cellIs" dxfId="11" priority="15" operator="lessThan">
      <formula>$C$40</formula>
    </cfRule>
  </conditionalFormatting>
  <conditionalFormatting sqref="C44:F44">
    <cfRule type="containsText" dxfId="10" priority="4" operator="containsText" text="ALL">
      <formula>NOT(ISERROR(SEARCH("ALL",C44)))</formula>
    </cfRule>
    <cfRule type="containsText" dxfId="9" priority="5" operator="containsText" text="mANUAL">
      <formula>NOT(ISERROR(SEARCH("mANUAL",C44)))</formula>
    </cfRule>
  </conditionalFormatting>
  <conditionalFormatting sqref="D41">
    <cfRule type="cellIs" dxfId="8" priority="1" operator="lessThan">
      <formula>$D$40</formula>
    </cfRule>
  </conditionalFormatting>
  <conditionalFormatting sqref="E41">
    <cfRule type="cellIs" dxfId="7" priority="10" operator="lessThan">
      <formula>$E$40</formula>
    </cfRule>
  </conditionalFormatting>
  <conditionalFormatting sqref="F41">
    <cfRule type="expression" dxfId="6" priority="2">
      <formula>$F$41&lt;$F$40</formula>
    </cfRule>
  </conditionalFormatting>
  <dataValidations count="1">
    <dataValidation type="date" allowBlank="1" showInputMessage="1" showErrorMessage="1" errorTitle="Date Entry" error="Enter service dates during quarter designated above." promptTitle="Enter Service Period Dates" sqref="C11:C24" xr:uid="{00000000-0002-0000-0100-000000000000}">
      <formula1>$C$8</formula1>
      <formula2>$C$9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'Service Period Dropdown Info'!$A$2:$A$10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8F32-7F81-418D-BDCE-D82F58B7A365}">
  <dimension ref="A1:J53"/>
  <sheetViews>
    <sheetView workbookViewId="0">
      <selection activeCell="C12" sqref="C12"/>
    </sheetView>
  </sheetViews>
  <sheetFormatPr defaultRowHeight="15" x14ac:dyDescent="0.25"/>
  <cols>
    <col min="1" max="1" width="9.140625" customWidth="1"/>
    <col min="2" max="2" width="18.140625" customWidth="1"/>
    <col min="3" max="3" width="12.42578125" style="20" customWidth="1"/>
    <col min="4" max="4" width="13.42578125" style="3" customWidth="1"/>
    <col min="5" max="5" width="12" style="3" customWidth="1"/>
    <col min="6" max="6" width="12.140625" style="3" customWidth="1"/>
    <col min="7" max="7" width="10.85546875" customWidth="1"/>
    <col min="8" max="8" width="10.7109375" customWidth="1"/>
    <col min="9" max="9" width="10.7109375" bestFit="1" customWidth="1"/>
    <col min="10" max="10" width="5.7109375" customWidth="1"/>
  </cols>
  <sheetData>
    <row r="1" spans="1:10" ht="18.75" x14ac:dyDescent="0.3">
      <c r="A1" s="79" t="s">
        <v>61</v>
      </c>
      <c r="B1" s="48"/>
      <c r="C1" s="63"/>
      <c r="D1" s="60"/>
      <c r="E1" s="60"/>
      <c r="F1" s="60"/>
      <c r="G1" s="48"/>
    </row>
    <row r="2" spans="1:10" ht="21.75" customHeight="1" x14ac:dyDescent="0.25">
      <c r="A2" s="115" t="s">
        <v>16</v>
      </c>
      <c r="B2" s="116"/>
      <c r="C2" s="116"/>
      <c r="D2" s="116"/>
      <c r="E2" s="116"/>
      <c r="F2" s="17"/>
      <c r="G2" s="17"/>
    </row>
    <row r="3" spans="1:10" ht="6" customHeight="1" x14ac:dyDescent="0.25">
      <c r="A3" s="81"/>
      <c r="B3" s="82"/>
      <c r="C3" s="64"/>
      <c r="D3" s="82"/>
      <c r="E3" s="82"/>
      <c r="F3" s="17"/>
      <c r="G3" s="17"/>
    </row>
    <row r="4" spans="1:10" ht="18" customHeight="1" x14ac:dyDescent="0.25">
      <c r="A4" s="1" t="s">
        <v>67</v>
      </c>
      <c r="C4" s="65" t="s">
        <v>123</v>
      </c>
      <c r="E4" s="83"/>
    </row>
    <row r="5" spans="1:10" ht="8.25" customHeight="1" x14ac:dyDescent="0.25"/>
    <row r="6" spans="1:10" x14ac:dyDescent="0.25">
      <c r="A6" s="27" t="s">
        <v>50</v>
      </c>
      <c r="F6" s="22" t="s">
        <v>51</v>
      </c>
      <c r="G6" s="46" t="s">
        <v>53</v>
      </c>
      <c r="J6" s="17"/>
    </row>
    <row r="7" spans="1:10" x14ac:dyDescent="0.25">
      <c r="A7" s="23" t="s">
        <v>0</v>
      </c>
      <c r="B7" s="4"/>
      <c r="C7" s="66"/>
      <c r="F7" s="22" t="s">
        <v>52</v>
      </c>
      <c r="G7" s="46" t="s">
        <v>54</v>
      </c>
    </row>
    <row r="8" spans="1:10" x14ac:dyDescent="0.25">
      <c r="A8" s="14" t="s">
        <v>1</v>
      </c>
      <c r="B8" s="4"/>
      <c r="C8" s="112">
        <f>VLOOKUP($C$4,'Service Period Dropdown Info'!A1:P10,2,FALSE)</f>
        <v>46024</v>
      </c>
      <c r="D8" s="9" t="s">
        <v>18</v>
      </c>
      <c r="E8" s="7">
        <f>NETWORKDAYS(C8,C9)</f>
        <v>56</v>
      </c>
      <c r="F8" s="2">
        <f>E8*$E$29</f>
        <v>33333.333333333336</v>
      </c>
      <c r="G8" s="47">
        <f>F8*C29</f>
        <v>33333.333333333336</v>
      </c>
    </row>
    <row r="9" spans="1:10" x14ac:dyDescent="0.25">
      <c r="A9" s="14" t="s">
        <v>2</v>
      </c>
      <c r="B9" s="4"/>
      <c r="C9" s="112">
        <f>VLOOKUP($C$4,'Service Period Dropdown Info'!A3:P10,3,FALSE)</f>
        <v>46102</v>
      </c>
      <c r="D9" s="10"/>
      <c r="F9" s="2"/>
      <c r="G9" s="48"/>
    </row>
    <row r="10" spans="1:10" ht="20.25" customHeight="1" x14ac:dyDescent="0.25">
      <c r="A10" s="23" t="s">
        <v>22</v>
      </c>
      <c r="B10" s="4"/>
      <c r="C10" s="66"/>
      <c r="D10" s="10"/>
      <c r="F10" s="2"/>
      <c r="G10" s="48"/>
    </row>
    <row r="11" spans="1:10" x14ac:dyDescent="0.25">
      <c r="A11" s="14" t="s">
        <v>1</v>
      </c>
      <c r="B11" s="4"/>
      <c r="C11" s="67"/>
      <c r="D11" s="9" t="s">
        <v>19</v>
      </c>
      <c r="E11" s="7">
        <f>NETWORKDAYS(C11,C12)</f>
        <v>0</v>
      </c>
      <c r="F11" s="2">
        <f>E11*$E$29</f>
        <v>0</v>
      </c>
      <c r="G11" s="47">
        <f>F11*$C$29</f>
        <v>0</v>
      </c>
    </row>
    <row r="12" spans="1:10" x14ac:dyDescent="0.25">
      <c r="A12" s="14" t="s">
        <v>2</v>
      </c>
      <c r="B12" s="4"/>
      <c r="C12" s="67"/>
      <c r="D12" s="10"/>
      <c r="E12" s="7"/>
      <c r="F12" s="16"/>
      <c r="G12" s="47"/>
    </row>
    <row r="13" spans="1:10" ht="19.5" customHeight="1" x14ac:dyDescent="0.25">
      <c r="A13" s="23" t="s">
        <v>21</v>
      </c>
      <c r="B13" s="4"/>
      <c r="C13" s="66"/>
      <c r="D13" s="10"/>
      <c r="E13" s="7"/>
      <c r="F13" s="2"/>
      <c r="G13" s="47"/>
    </row>
    <row r="14" spans="1:10" x14ac:dyDescent="0.25">
      <c r="A14" s="14" t="s">
        <v>1</v>
      </c>
      <c r="B14" s="4"/>
      <c r="C14" s="67"/>
      <c r="D14" s="9" t="s">
        <v>20</v>
      </c>
      <c r="E14" s="7">
        <f>NETWORKDAYS(C14,C15)</f>
        <v>0</v>
      </c>
      <c r="F14" s="13">
        <f>(E14*$E$29)*-1</f>
        <v>0</v>
      </c>
      <c r="G14" s="47">
        <f>F14*$C$29</f>
        <v>0</v>
      </c>
    </row>
    <row r="15" spans="1:10" x14ac:dyDescent="0.25">
      <c r="A15" s="14" t="s">
        <v>2</v>
      </c>
      <c r="B15" s="4"/>
      <c r="C15" s="67"/>
      <c r="D15" s="10"/>
      <c r="E15" s="7"/>
      <c r="F15" s="13"/>
      <c r="G15" s="47"/>
    </row>
    <row r="16" spans="1:10" ht="19.5" customHeight="1" x14ac:dyDescent="0.25">
      <c r="A16" s="23" t="s">
        <v>38</v>
      </c>
      <c r="B16" s="4"/>
      <c r="C16" s="66"/>
      <c r="D16" s="10"/>
      <c r="E16" s="7"/>
      <c r="F16" s="13"/>
      <c r="G16" s="47"/>
    </row>
    <row r="17" spans="1:8" ht="15.75" customHeight="1" x14ac:dyDescent="0.25">
      <c r="A17" s="14" t="s">
        <v>1</v>
      </c>
      <c r="B17" s="4"/>
      <c r="C17" s="67"/>
      <c r="D17" s="9" t="s">
        <v>39</v>
      </c>
      <c r="E17" s="7">
        <f>NETWORKDAYS(C17,C18)</f>
        <v>0</v>
      </c>
      <c r="F17" s="13">
        <f>(E17*$E$29)*-1</f>
        <v>0</v>
      </c>
      <c r="G17" s="47">
        <f>F17*$C$29</f>
        <v>0</v>
      </c>
    </row>
    <row r="18" spans="1:8" x14ac:dyDescent="0.25">
      <c r="A18" s="14" t="s">
        <v>2</v>
      </c>
      <c r="B18" s="4"/>
      <c r="C18" s="67"/>
      <c r="D18" s="10"/>
      <c r="E18" s="7"/>
      <c r="F18" s="2"/>
      <c r="G18" s="47"/>
    </row>
    <row r="19" spans="1:8" ht="23.25" customHeight="1" x14ac:dyDescent="0.25">
      <c r="A19" s="24" t="s">
        <v>36</v>
      </c>
      <c r="B19" s="4"/>
      <c r="C19" s="68"/>
      <c r="D19" s="10"/>
      <c r="F19" s="2"/>
      <c r="G19" s="47"/>
    </row>
    <row r="20" spans="1:8" x14ac:dyDescent="0.25">
      <c r="A20" s="14" t="s">
        <v>1</v>
      </c>
      <c r="B20" s="4"/>
      <c r="C20" s="67"/>
      <c r="D20" s="11" t="s">
        <v>23</v>
      </c>
      <c r="E20" s="7">
        <f>IF((C20:C21)=0,0, NETWORKDAYS(C20,C21))</f>
        <v>0</v>
      </c>
      <c r="F20" s="2">
        <f>E20*E29</f>
        <v>0</v>
      </c>
      <c r="G20" s="47">
        <f>F20*$C$29</f>
        <v>0</v>
      </c>
      <c r="H20" s="2"/>
    </row>
    <row r="21" spans="1:8" x14ac:dyDescent="0.25">
      <c r="A21" s="14" t="s">
        <v>2</v>
      </c>
      <c r="B21" s="4"/>
      <c r="C21" s="67"/>
      <c r="D21" s="11"/>
      <c r="E21" s="7"/>
      <c r="F21" s="2"/>
      <c r="G21" s="47"/>
    </row>
    <row r="22" spans="1:8" x14ac:dyDescent="0.25">
      <c r="A22" s="14"/>
      <c r="B22" s="4"/>
      <c r="C22" s="69"/>
      <c r="D22" s="11"/>
      <c r="E22" s="7"/>
      <c r="F22" s="2"/>
      <c r="G22" s="47"/>
    </row>
    <row r="23" spans="1:8" x14ac:dyDescent="0.25">
      <c r="A23" s="14" t="s">
        <v>1</v>
      </c>
      <c r="B23" s="4"/>
      <c r="C23" s="67"/>
      <c r="D23" s="11" t="s">
        <v>23</v>
      </c>
      <c r="E23" s="7">
        <f>IF((C23:C24)=0,0, NETWORKDAYS(C23,C24))</f>
        <v>0</v>
      </c>
      <c r="F23" s="2">
        <f>E23*E29</f>
        <v>0</v>
      </c>
      <c r="G23" s="47">
        <f>F23*$C$29</f>
        <v>0</v>
      </c>
    </row>
    <row r="24" spans="1:8" x14ac:dyDescent="0.25">
      <c r="A24" s="14" t="s">
        <v>2</v>
      </c>
      <c r="B24" s="4"/>
      <c r="C24" s="67"/>
      <c r="D24" s="10"/>
      <c r="F24"/>
      <c r="G24" s="47"/>
    </row>
    <row r="25" spans="1:8" x14ac:dyDescent="0.25">
      <c r="A25" s="5"/>
      <c r="D25" s="10"/>
      <c r="E25" s="50" t="s">
        <v>24</v>
      </c>
      <c r="F25" s="49">
        <f>F11+F20+F23</f>
        <v>0</v>
      </c>
      <c r="G25" s="49">
        <f>G11+G20+G23</f>
        <v>0</v>
      </c>
    </row>
    <row r="26" spans="1:8" x14ac:dyDescent="0.25">
      <c r="A26" s="27" t="s">
        <v>49</v>
      </c>
      <c r="D26" s="10"/>
      <c r="F26"/>
    </row>
    <row r="27" spans="1:8" ht="17.25" customHeight="1" x14ac:dyDescent="0.25">
      <c r="A27" s="5" t="s">
        <v>17</v>
      </c>
      <c r="C27" s="70">
        <v>100000</v>
      </c>
      <c r="D27" s="9" t="s">
        <v>3</v>
      </c>
      <c r="E27" s="51">
        <f>C27/3</f>
        <v>33333.333333333336</v>
      </c>
      <c r="F27" s="2"/>
      <c r="G27" s="15"/>
    </row>
    <row r="28" spans="1:8" ht="8.25" customHeight="1" x14ac:dyDescent="0.25">
      <c r="A28" s="5"/>
      <c r="C28" s="71"/>
      <c r="D28" s="10"/>
      <c r="E28" s="43"/>
      <c r="F28"/>
    </row>
    <row r="29" spans="1:8" x14ac:dyDescent="0.25">
      <c r="A29" s="5" t="s">
        <v>25</v>
      </c>
      <c r="C29" s="72">
        <v>1</v>
      </c>
      <c r="D29" s="9" t="s">
        <v>27</v>
      </c>
      <c r="E29" s="51">
        <f>(E27/E8)</f>
        <v>595.2380952380953</v>
      </c>
      <c r="F29"/>
    </row>
    <row r="30" spans="1:8" ht="7.5" customHeight="1" x14ac:dyDescent="0.25">
      <c r="A30" s="5"/>
      <c r="E30" s="7"/>
      <c r="F30"/>
    </row>
    <row r="31" spans="1:8" x14ac:dyDescent="0.25">
      <c r="A31" s="5" t="s">
        <v>4</v>
      </c>
      <c r="C31" s="73">
        <f>((E20+E23+E11)*E29)*C29</f>
        <v>0</v>
      </c>
      <c r="D31" s="3" t="str">
        <f>IF(C31&gt;E27, "Too many days accounted for. Fix Dates.", " ")</f>
        <v xml:space="preserve"> </v>
      </c>
      <c r="E31" s="8"/>
      <c r="F31" s="8"/>
    </row>
    <row r="32" spans="1:8" x14ac:dyDescent="0.25">
      <c r="A32" s="5" t="s">
        <v>56</v>
      </c>
      <c r="C32" s="73">
        <f>C27/9</f>
        <v>11111.111111111111</v>
      </c>
    </row>
    <row r="33" spans="1:7" x14ac:dyDescent="0.25">
      <c r="A33" s="5" t="s">
        <v>26</v>
      </c>
      <c r="C33" s="74">
        <f>C32*C29</f>
        <v>11111.111111111111</v>
      </c>
      <c r="G33" s="2"/>
    </row>
    <row r="34" spans="1:7" ht="8.25" customHeight="1" x14ac:dyDescent="0.25">
      <c r="A34" s="5"/>
      <c r="G34" s="2"/>
    </row>
    <row r="35" spans="1:7" x14ac:dyDescent="0.25">
      <c r="A35" s="27" t="s">
        <v>59</v>
      </c>
      <c r="F35" s="2"/>
    </row>
    <row r="36" spans="1:7" x14ac:dyDescent="0.25">
      <c r="A36" s="5"/>
      <c r="C36" s="41" t="s">
        <v>11</v>
      </c>
      <c r="D36" s="6" t="s">
        <v>12</v>
      </c>
      <c r="E36" s="6" t="s">
        <v>13</v>
      </c>
      <c r="F36"/>
    </row>
    <row r="37" spans="1:7" x14ac:dyDescent="0.25">
      <c r="A37" s="14" t="s">
        <v>46</v>
      </c>
      <c r="B37" s="4"/>
      <c r="C37" s="101" t="str">
        <f>VLOOKUP($C$4,'Service Period Dropdown Info'!$A$1:$P$10,12,FALSE)</f>
        <v>Jan</v>
      </c>
      <c r="D37" s="101" t="str">
        <f>VLOOKUP($C$4,'Service Period Dropdown Info'!$A$1:$P$10,14,FALSE)</f>
        <v>Feb</v>
      </c>
      <c r="E37" s="101" t="str">
        <f>VLOOKUP($C$4,'Service Period Dropdown Info'!$A$1:$P$10,16,FALSE)</f>
        <v>March</v>
      </c>
      <c r="F37"/>
    </row>
    <row r="38" spans="1:7" x14ac:dyDescent="0.25">
      <c r="A38" s="14" t="s">
        <v>125</v>
      </c>
      <c r="B38" s="4"/>
      <c r="C38" s="75">
        <f>C32/C40</f>
        <v>505.05050505050508</v>
      </c>
      <c r="D38" s="18">
        <f>C32/D40</f>
        <v>555.55555555555554</v>
      </c>
      <c r="E38" s="18">
        <f>$C$32/E40</f>
        <v>505.05050505050508</v>
      </c>
      <c r="F38"/>
    </row>
    <row r="39" spans="1:7" x14ac:dyDescent="0.25">
      <c r="A39" s="14" t="s">
        <v>126</v>
      </c>
      <c r="B39" s="4"/>
      <c r="C39" s="75">
        <f>(C32/C40)*C29</f>
        <v>505.05050505050508</v>
      </c>
      <c r="D39" s="18">
        <f>(C32/D40)*C29</f>
        <v>555.55555555555554</v>
      </c>
      <c r="E39" s="18">
        <f>(C32/E40)*C29</f>
        <v>505.05050505050508</v>
      </c>
      <c r="F39"/>
    </row>
    <row r="40" spans="1:7" x14ac:dyDescent="0.25">
      <c r="A40" s="117" t="s">
        <v>5</v>
      </c>
      <c r="B40" s="118"/>
      <c r="C40" s="86">
        <f>VLOOKUP($C$4,'Service Period Dropdown Info'!$A$1:$Q$10,13,FALSE)</f>
        <v>22</v>
      </c>
      <c r="D40" s="85">
        <f>VLOOKUP($C$4,'Service Period Dropdown Info'!$A$1:$Q$10,15,FALSE)</f>
        <v>20</v>
      </c>
      <c r="E40" s="86">
        <f>VLOOKUP($C$4,'Service Period Dropdown Info'!$A$1:$Q$10,17,FALSE)</f>
        <v>22</v>
      </c>
      <c r="F40"/>
    </row>
    <row r="41" spans="1:7" x14ac:dyDescent="0.25">
      <c r="A41" s="14" t="s">
        <v>37</v>
      </c>
      <c r="B41" s="4"/>
      <c r="C41" s="42">
        <f>IF(C31&lt;C33,C31/C39,C33/C39)</f>
        <v>0</v>
      </c>
      <c r="D41" s="42">
        <f>IF(C43&gt;=C33,D40, C43/D39)</f>
        <v>0</v>
      </c>
      <c r="E41" s="42">
        <f>IF(D43&gt;=C33,E40, D43/E39)</f>
        <v>0</v>
      </c>
      <c r="F41"/>
    </row>
    <row r="42" spans="1:7" x14ac:dyDescent="0.25">
      <c r="A42" s="14" t="s">
        <v>45</v>
      </c>
      <c r="B42" s="4"/>
      <c r="C42" s="75">
        <f>C41*(C38*$C$29)</f>
        <v>0</v>
      </c>
      <c r="D42" s="104">
        <f>D41*(D38*$C$29)</f>
        <v>0</v>
      </c>
      <c r="E42" s="104">
        <f>E41*(E38*$C$29)</f>
        <v>0</v>
      </c>
      <c r="F42"/>
    </row>
    <row r="43" spans="1:7" x14ac:dyDescent="0.25">
      <c r="A43" s="14" t="s">
        <v>44</v>
      </c>
      <c r="B43" s="4"/>
      <c r="C43" s="75">
        <f>IF(C31&gt;0,C31-(C41*C39),0)</f>
        <v>0</v>
      </c>
      <c r="D43" s="18">
        <f>C43-(D41*D39)</f>
        <v>0</v>
      </c>
      <c r="E43" s="18">
        <f>D43-(E41*E39)</f>
        <v>0</v>
      </c>
      <c r="F43"/>
    </row>
    <row r="44" spans="1:7" x14ac:dyDescent="0.25">
      <c r="A44" s="14" t="s">
        <v>15</v>
      </c>
      <c r="B44" s="4"/>
      <c r="C44" s="76" t="str">
        <f>IF(C41=C40,"ALL PAY", "MANUAL TRANS")</f>
        <v>MANUAL TRANS</v>
      </c>
      <c r="D44" s="76" t="str">
        <f>IF(D41=D40,"ALL PAY", "MANUAL TRANS")</f>
        <v>MANUAL TRANS</v>
      </c>
      <c r="E44" s="19" t="str">
        <f>IF(E41=E40,"ALL PAY", "MANUAL TRANS")</f>
        <v>MANUAL TRANS</v>
      </c>
      <c r="F44"/>
    </row>
    <row r="45" spans="1:7" ht="6.75" customHeight="1" x14ac:dyDescent="0.25">
      <c r="A45" s="5"/>
      <c r="C45" s="77"/>
      <c r="D45" s="12"/>
      <c r="E45" s="12"/>
    </row>
    <row r="46" spans="1:7" x14ac:dyDescent="0.25">
      <c r="A46" s="5" t="s">
        <v>88</v>
      </c>
    </row>
    <row r="47" spans="1:7" x14ac:dyDescent="0.25">
      <c r="A47" s="5" t="s">
        <v>89</v>
      </c>
      <c r="B47" s="2"/>
    </row>
    <row r="48" spans="1:7" x14ac:dyDescent="0.25">
      <c r="A48" s="5"/>
      <c r="B48" s="2"/>
    </row>
    <row r="49" spans="1:2" x14ac:dyDescent="0.25">
      <c r="A49" s="5"/>
      <c r="B49" s="2"/>
    </row>
    <row r="50" spans="1:2" x14ac:dyDescent="0.25">
      <c r="B50" s="2"/>
    </row>
    <row r="51" spans="1:2" x14ac:dyDescent="0.25">
      <c r="A51" s="15"/>
      <c r="B51" s="2"/>
    </row>
    <row r="52" spans="1:2" x14ac:dyDescent="0.25">
      <c r="A52" s="15"/>
    </row>
    <row r="53" spans="1:2" x14ac:dyDescent="0.25">
      <c r="A53" s="15"/>
    </row>
  </sheetData>
  <sheetProtection sheet="1" objects="1" scenarios="1" selectLockedCells="1"/>
  <mergeCells count="2">
    <mergeCell ref="A2:E2"/>
    <mergeCell ref="A40:B40"/>
  </mergeCells>
  <conditionalFormatting sqref="C31">
    <cfRule type="cellIs" dxfId="5" priority="3" operator="greaterThan">
      <formula>$E$27</formula>
    </cfRule>
  </conditionalFormatting>
  <conditionalFormatting sqref="C41">
    <cfRule type="cellIs" dxfId="4" priority="7" operator="lessThan">
      <formula>$C$40</formula>
    </cfRule>
  </conditionalFormatting>
  <conditionalFormatting sqref="C44:E44">
    <cfRule type="containsText" dxfId="3" priority="4" operator="containsText" text="ALL">
      <formula>NOT(ISERROR(SEARCH("ALL",C44)))</formula>
    </cfRule>
    <cfRule type="containsText" dxfId="2" priority="5" operator="containsText" text="mANUAL">
      <formula>NOT(ISERROR(SEARCH("mANUAL",C44)))</formula>
    </cfRule>
  </conditionalFormatting>
  <conditionalFormatting sqref="D41">
    <cfRule type="cellIs" dxfId="1" priority="1" operator="lessThan">
      <formula>$D$40</formula>
    </cfRule>
  </conditionalFormatting>
  <conditionalFormatting sqref="E41">
    <cfRule type="cellIs" dxfId="0" priority="6" operator="lessThan">
      <formula>$E$40</formula>
    </cfRule>
  </conditionalFormatting>
  <dataValidations count="1">
    <dataValidation type="date" allowBlank="1" showInputMessage="1" showErrorMessage="1" errorTitle="Date Entry" error="Enter service dates during quarter designated above." promptTitle="Enter Service Period Dates" sqref="C11:C24" xr:uid="{1E35B6D5-AF5E-4342-BEF9-96FE0513746E}">
      <formula1>$C$8</formula1>
      <formula2>$C$9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B212B3-E48F-492C-9DD0-5C2036BE6C98}">
          <x14:formula1>
            <xm:f>'Service Period Dropdown Info'!$A$2:$A$10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Q33"/>
  <sheetViews>
    <sheetView showGridLines="0" workbookViewId="0">
      <selection activeCell="H21" sqref="H21"/>
    </sheetView>
  </sheetViews>
  <sheetFormatPr defaultRowHeight="15" x14ac:dyDescent="0.25"/>
  <cols>
    <col min="1" max="1" width="6.7109375" customWidth="1"/>
    <col min="2" max="2" width="12" bestFit="1" customWidth="1"/>
    <col min="3" max="3" width="11.140625" bestFit="1" customWidth="1"/>
    <col min="4" max="4" width="11" bestFit="1" customWidth="1"/>
    <col min="5" max="5" width="5.140625" bestFit="1" customWidth="1"/>
    <col min="6" max="6" width="10.7109375" bestFit="1" customWidth="1"/>
    <col min="7" max="7" width="5.140625" bestFit="1" customWidth="1"/>
    <col min="8" max="8" width="11" bestFit="1" customWidth="1"/>
    <col min="9" max="9" width="5.140625" bestFit="1" customWidth="1"/>
    <col min="10" max="10" width="10.7109375" bestFit="1" customWidth="1"/>
    <col min="11" max="11" width="5.140625" bestFit="1" customWidth="1"/>
    <col min="12" max="12" width="13.7109375" bestFit="1" customWidth="1"/>
    <col min="13" max="13" width="6.140625" customWidth="1"/>
    <col min="14" max="14" width="13.7109375" bestFit="1" customWidth="1"/>
    <col min="15" max="15" width="5.140625" bestFit="1" customWidth="1"/>
    <col min="16" max="16" width="13.7109375" bestFit="1" customWidth="1"/>
    <col min="17" max="17" width="5.140625" bestFit="1" customWidth="1"/>
  </cols>
  <sheetData>
    <row r="1" spans="1:17" s="78" customFormat="1" x14ac:dyDescent="0.25">
      <c r="A1" s="80" t="s">
        <v>71</v>
      </c>
      <c r="B1" s="80" t="s">
        <v>72</v>
      </c>
      <c r="C1" s="80" t="s">
        <v>73</v>
      </c>
      <c r="D1" s="80" t="s">
        <v>74</v>
      </c>
      <c r="E1" s="80" t="s">
        <v>122</v>
      </c>
      <c r="F1" s="80" t="s">
        <v>75</v>
      </c>
      <c r="G1" s="80" t="s">
        <v>122</v>
      </c>
      <c r="H1" s="80" t="s">
        <v>76</v>
      </c>
      <c r="I1" s="80" t="s">
        <v>122</v>
      </c>
      <c r="J1" s="80" t="s">
        <v>77</v>
      </c>
      <c r="K1" s="80" t="s">
        <v>122</v>
      </c>
      <c r="L1" s="80" t="s">
        <v>117</v>
      </c>
      <c r="M1" s="80" t="s">
        <v>122</v>
      </c>
      <c r="N1" s="80" t="s">
        <v>116</v>
      </c>
      <c r="O1" s="80" t="s">
        <v>122</v>
      </c>
      <c r="P1" s="80" t="s">
        <v>115</v>
      </c>
      <c r="Q1" s="80" t="s">
        <v>122</v>
      </c>
    </row>
    <row r="2" spans="1:17" x14ac:dyDescent="0.25">
      <c r="A2" s="87" t="s">
        <v>68</v>
      </c>
      <c r="B2" s="88">
        <v>45194</v>
      </c>
      <c r="C2" s="88">
        <v>45276</v>
      </c>
      <c r="D2" s="87" t="s">
        <v>9</v>
      </c>
      <c r="E2" s="87">
        <v>21</v>
      </c>
      <c r="F2" s="87" t="s">
        <v>10</v>
      </c>
      <c r="G2" s="87">
        <v>23</v>
      </c>
      <c r="H2" s="87" t="s">
        <v>78</v>
      </c>
      <c r="I2" s="87">
        <v>21</v>
      </c>
      <c r="J2" s="87" t="s">
        <v>79</v>
      </c>
      <c r="K2" s="87">
        <v>22</v>
      </c>
      <c r="L2" s="87" t="s">
        <v>79</v>
      </c>
      <c r="M2" s="87">
        <v>22</v>
      </c>
      <c r="N2" s="87" t="s">
        <v>64</v>
      </c>
      <c r="O2" s="87">
        <v>22</v>
      </c>
      <c r="P2" s="87" t="s">
        <v>65</v>
      </c>
      <c r="Q2" s="87">
        <v>21</v>
      </c>
    </row>
    <row r="3" spans="1:17" x14ac:dyDescent="0.25">
      <c r="A3" s="87" t="s">
        <v>69</v>
      </c>
      <c r="B3" s="88">
        <v>45294</v>
      </c>
      <c r="C3" s="88">
        <v>45374</v>
      </c>
      <c r="D3" s="87" t="s">
        <v>64</v>
      </c>
      <c r="E3" s="87">
        <v>22</v>
      </c>
      <c r="F3" s="87" t="s">
        <v>65</v>
      </c>
      <c r="G3" s="87">
        <v>21</v>
      </c>
      <c r="H3" s="87" t="s">
        <v>80</v>
      </c>
      <c r="I3" s="87">
        <v>23</v>
      </c>
      <c r="J3" s="87" t="s">
        <v>66</v>
      </c>
      <c r="K3" s="87">
        <v>21</v>
      </c>
      <c r="L3" s="87" t="s">
        <v>87</v>
      </c>
      <c r="M3" s="87">
        <v>23</v>
      </c>
      <c r="N3" s="87" t="s">
        <v>66</v>
      </c>
      <c r="O3" s="87">
        <v>21</v>
      </c>
      <c r="P3" s="87" t="s">
        <v>6</v>
      </c>
      <c r="Q3" s="87">
        <v>21</v>
      </c>
    </row>
    <row r="4" spans="1:17" x14ac:dyDescent="0.25">
      <c r="A4" s="87" t="s">
        <v>70</v>
      </c>
      <c r="B4" s="88">
        <v>45378</v>
      </c>
      <c r="C4" s="88">
        <v>45457</v>
      </c>
      <c r="D4" s="87" t="s">
        <v>81</v>
      </c>
      <c r="E4" s="87">
        <v>21</v>
      </c>
      <c r="F4" s="87" t="s">
        <v>82</v>
      </c>
      <c r="G4" s="87">
        <v>22</v>
      </c>
      <c r="H4" s="87" t="s">
        <v>7</v>
      </c>
      <c r="I4" s="87">
        <v>23</v>
      </c>
      <c r="J4" s="87" t="s">
        <v>8</v>
      </c>
      <c r="K4" s="87">
        <v>20</v>
      </c>
      <c r="L4" s="87" t="s">
        <v>82</v>
      </c>
      <c r="M4" s="87">
        <v>22</v>
      </c>
      <c r="N4" s="87" t="s">
        <v>7</v>
      </c>
      <c r="O4" s="87">
        <v>23</v>
      </c>
      <c r="P4" s="87" t="s">
        <v>8</v>
      </c>
      <c r="Q4" s="87">
        <v>20</v>
      </c>
    </row>
    <row r="5" spans="1:17" x14ac:dyDescent="0.25">
      <c r="A5" s="87" t="s">
        <v>118</v>
      </c>
      <c r="B5" s="88">
        <v>45558</v>
      </c>
      <c r="C5" s="88">
        <v>45640</v>
      </c>
      <c r="D5" s="87" t="s">
        <v>9</v>
      </c>
      <c r="E5" s="87">
        <v>23</v>
      </c>
      <c r="F5" s="87" t="s">
        <v>10</v>
      </c>
      <c r="G5" s="87">
        <v>22</v>
      </c>
      <c r="H5" s="87" t="s">
        <v>78</v>
      </c>
      <c r="I5" s="87">
        <v>21</v>
      </c>
      <c r="J5" s="87" t="s">
        <v>79</v>
      </c>
      <c r="K5" s="87">
        <v>23</v>
      </c>
      <c r="L5" s="87" t="s">
        <v>79</v>
      </c>
      <c r="M5" s="87">
        <v>23</v>
      </c>
      <c r="N5" s="87" t="s">
        <v>64</v>
      </c>
      <c r="O5" s="87">
        <v>21</v>
      </c>
      <c r="P5" s="87" t="s">
        <v>65</v>
      </c>
      <c r="Q5" s="87">
        <v>22</v>
      </c>
    </row>
    <row r="6" spans="1:17" x14ac:dyDescent="0.25">
      <c r="A6" s="87" t="s">
        <v>119</v>
      </c>
      <c r="B6" s="88">
        <v>45659</v>
      </c>
      <c r="C6" s="88">
        <v>45738</v>
      </c>
      <c r="D6" s="87" t="s">
        <v>64</v>
      </c>
      <c r="E6" s="87">
        <v>21</v>
      </c>
      <c r="F6" s="87" t="s">
        <v>65</v>
      </c>
      <c r="G6" s="87">
        <v>22</v>
      </c>
      <c r="H6" s="87" t="s">
        <v>80</v>
      </c>
      <c r="I6" s="87">
        <v>23</v>
      </c>
      <c r="J6" s="87" t="s">
        <v>66</v>
      </c>
      <c r="K6" s="87">
        <v>20</v>
      </c>
      <c r="L6" s="87" t="s">
        <v>87</v>
      </c>
      <c r="M6" s="87">
        <v>23</v>
      </c>
      <c r="N6" s="87" t="s">
        <v>66</v>
      </c>
      <c r="O6" s="87">
        <v>20</v>
      </c>
      <c r="P6" s="87" t="s">
        <v>6</v>
      </c>
      <c r="Q6" s="87">
        <v>21</v>
      </c>
    </row>
    <row r="7" spans="1:17" x14ac:dyDescent="0.25">
      <c r="A7" s="87" t="s">
        <v>120</v>
      </c>
      <c r="B7" s="88">
        <v>45742</v>
      </c>
      <c r="C7" s="88">
        <v>45821</v>
      </c>
      <c r="D7" s="87" t="s">
        <v>81</v>
      </c>
      <c r="E7" s="87">
        <v>21</v>
      </c>
      <c r="F7" s="87" t="s">
        <v>82</v>
      </c>
      <c r="G7" s="87">
        <v>22</v>
      </c>
      <c r="H7" s="87" t="s">
        <v>7</v>
      </c>
      <c r="I7" s="87">
        <v>22</v>
      </c>
      <c r="J7" s="87" t="s">
        <v>8</v>
      </c>
      <c r="K7" s="87">
        <v>21</v>
      </c>
      <c r="L7" s="87" t="s">
        <v>82</v>
      </c>
      <c r="M7" s="87">
        <v>22</v>
      </c>
      <c r="N7" s="87" t="s">
        <v>7</v>
      </c>
      <c r="O7" s="87">
        <v>22</v>
      </c>
      <c r="P7" s="87" t="s">
        <v>8</v>
      </c>
      <c r="Q7" s="87">
        <v>21</v>
      </c>
    </row>
    <row r="8" spans="1:17" x14ac:dyDescent="0.25">
      <c r="A8" s="87" t="s">
        <v>121</v>
      </c>
      <c r="B8" s="88">
        <v>45922</v>
      </c>
      <c r="C8" s="88">
        <v>46004</v>
      </c>
      <c r="D8" s="87" t="s">
        <v>9</v>
      </c>
      <c r="E8" s="87">
        <v>23</v>
      </c>
      <c r="F8" s="87" t="s">
        <v>10</v>
      </c>
      <c r="G8" s="87">
        <v>21</v>
      </c>
      <c r="H8" s="87" t="s">
        <v>78</v>
      </c>
      <c r="I8" s="87">
        <v>22</v>
      </c>
      <c r="J8" s="87" t="s">
        <v>79</v>
      </c>
      <c r="K8" s="87">
        <v>23</v>
      </c>
      <c r="L8" s="87" t="s">
        <v>79</v>
      </c>
      <c r="M8" s="87">
        <v>23</v>
      </c>
      <c r="N8" s="87" t="s">
        <v>64</v>
      </c>
      <c r="O8" s="87">
        <v>20</v>
      </c>
      <c r="P8" s="87" t="s">
        <v>65</v>
      </c>
      <c r="Q8" s="87">
        <v>23</v>
      </c>
    </row>
    <row r="9" spans="1:17" x14ac:dyDescent="0.25">
      <c r="A9" s="87" t="s">
        <v>123</v>
      </c>
      <c r="B9" s="88">
        <v>46024</v>
      </c>
      <c r="C9" s="88">
        <v>46102</v>
      </c>
      <c r="D9" s="87" t="s">
        <v>64</v>
      </c>
      <c r="E9" s="87">
        <v>20</v>
      </c>
      <c r="F9" s="87" t="s">
        <v>65</v>
      </c>
      <c r="G9" s="87">
        <v>23</v>
      </c>
      <c r="H9" s="87" t="s">
        <v>80</v>
      </c>
      <c r="I9" s="87">
        <v>22</v>
      </c>
      <c r="J9" s="87" t="s">
        <v>66</v>
      </c>
      <c r="K9" s="87">
        <v>20</v>
      </c>
      <c r="L9" s="87" t="s">
        <v>87</v>
      </c>
      <c r="M9" s="87">
        <v>22</v>
      </c>
      <c r="N9" s="87" t="s">
        <v>66</v>
      </c>
      <c r="O9" s="87">
        <v>20</v>
      </c>
      <c r="P9" s="87" t="s">
        <v>6</v>
      </c>
      <c r="Q9" s="87">
        <v>22</v>
      </c>
    </row>
    <row r="10" spans="1:17" x14ac:dyDescent="0.25">
      <c r="A10" s="87" t="s">
        <v>124</v>
      </c>
      <c r="B10" s="88">
        <v>46106</v>
      </c>
      <c r="C10" s="88">
        <v>46185</v>
      </c>
      <c r="D10" s="87" t="s">
        <v>81</v>
      </c>
      <c r="E10" s="87">
        <v>22</v>
      </c>
      <c r="F10" s="87" t="s">
        <v>82</v>
      </c>
      <c r="G10" s="87">
        <v>22</v>
      </c>
      <c r="H10" s="87" t="s">
        <v>7</v>
      </c>
      <c r="I10" s="87">
        <v>21</v>
      </c>
      <c r="J10" s="87" t="s">
        <v>8</v>
      </c>
      <c r="K10" s="87">
        <v>22</v>
      </c>
      <c r="L10" s="87" t="s">
        <v>82</v>
      </c>
      <c r="M10" s="87">
        <v>22</v>
      </c>
      <c r="N10" s="87" t="s">
        <v>7</v>
      </c>
      <c r="O10" s="87">
        <v>21</v>
      </c>
      <c r="P10" s="87" t="s">
        <v>8</v>
      </c>
      <c r="Q10" s="87">
        <v>22</v>
      </c>
    </row>
    <row r="11" spans="1:17" x14ac:dyDescent="0.25">
      <c r="A11" t="s">
        <v>90</v>
      </c>
    </row>
    <row r="12" spans="1:17" x14ac:dyDescent="0.25">
      <c r="A12" t="s">
        <v>129</v>
      </c>
    </row>
    <row r="13" spans="1:17" x14ac:dyDescent="0.25">
      <c r="A13" t="s">
        <v>128</v>
      </c>
    </row>
    <row r="14" spans="1:17" x14ac:dyDescent="0.25">
      <c r="A14" t="s">
        <v>127</v>
      </c>
      <c r="K14" s="84"/>
    </row>
    <row r="15" spans="1:17" x14ac:dyDescent="0.25">
      <c r="G15" s="84"/>
      <c r="K15" s="84"/>
    </row>
    <row r="16" spans="1:17" x14ac:dyDescent="0.25">
      <c r="G16" s="84"/>
      <c r="K16" s="84"/>
    </row>
    <row r="17" spans="7:11" x14ac:dyDescent="0.25">
      <c r="G17" s="84"/>
      <c r="K17" s="84"/>
    </row>
    <row r="18" spans="7:11" x14ac:dyDescent="0.25">
      <c r="G18" s="84"/>
      <c r="K18" s="84"/>
    </row>
    <row r="19" spans="7:11" x14ac:dyDescent="0.25">
      <c r="G19" s="84"/>
      <c r="K19" s="84"/>
    </row>
    <row r="20" spans="7:11" x14ac:dyDescent="0.25">
      <c r="G20" s="84"/>
      <c r="K20" s="84"/>
    </row>
    <row r="21" spans="7:11" x14ac:dyDescent="0.25">
      <c r="G21" s="84"/>
      <c r="K21" s="84"/>
    </row>
    <row r="22" spans="7:11" x14ac:dyDescent="0.25">
      <c r="G22" s="84"/>
      <c r="K22" s="84"/>
    </row>
    <row r="23" spans="7:11" x14ac:dyDescent="0.25">
      <c r="G23" s="84"/>
      <c r="K23" s="84"/>
    </row>
    <row r="24" spans="7:11" x14ac:dyDescent="0.25">
      <c r="G24" s="84"/>
      <c r="K24" s="84"/>
    </row>
    <row r="25" spans="7:11" x14ac:dyDescent="0.25">
      <c r="G25" s="84"/>
      <c r="K25" s="84"/>
    </row>
    <row r="26" spans="7:11" x14ac:dyDescent="0.25">
      <c r="G26" s="84"/>
      <c r="K26" s="84"/>
    </row>
    <row r="27" spans="7:11" x14ac:dyDescent="0.25">
      <c r="G27" s="84"/>
      <c r="K27" s="84"/>
    </row>
    <row r="28" spans="7:11" x14ac:dyDescent="0.25">
      <c r="G28" s="84"/>
      <c r="K28" s="84"/>
    </row>
    <row r="29" spans="7:11" x14ac:dyDescent="0.25">
      <c r="G29" s="84"/>
      <c r="K29" s="84"/>
    </row>
    <row r="30" spans="7:11" x14ac:dyDescent="0.25">
      <c r="G30" s="84"/>
      <c r="K30" s="84"/>
    </row>
    <row r="31" spans="7:11" x14ac:dyDescent="0.25">
      <c r="K31" s="84"/>
    </row>
    <row r="32" spans="7:11" x14ac:dyDescent="0.25">
      <c r="K32" s="84"/>
    </row>
    <row r="33" spans="11:11" x14ac:dyDescent="0.25">
      <c r="K33" s="84"/>
    </row>
  </sheetData>
  <sheetProtection sheet="1" objects="1" scenarios="1" selectLockedCells="1" selectUnlockedCells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c4a7ff-ac0c-43ae-af92-5dd144f40fa2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8 3 t B W J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D z e 0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3 t B W C i K R 7 g O A A A A E Q A A A B M A H A B G b 3 J t d W x h c y 9 T Z W N 0 a W 9 u M S 5 t I K I Y A C i g F A A A A A A A A A A A A A A A A A A A A A A A A A A A A C t O T S 7 J z M 9 T C I b Q h t Y A U E s B A i 0 A F A A C A A g A 8 3 t B W J 2 I Z o + j A A A A 9 g A A A B I A A A A A A A A A A A A A A A A A A A A A A E N v b m Z p Z y 9 Q Y W N r Y W d l L n h t b F B L A Q I t A B Q A A g A I A P N 7 Q V g P y u m r p A A A A O k A A A A T A A A A A A A A A A A A A A A A A O 8 A A A B b Q 2 9 u d G V u d F 9 U e X B l c 1 0 u e G 1 s U E s B A i 0 A F A A C A A g A 8 3 t B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9 s v + 5 9 I 0 9 J n r 2 Y f 3 K I K Y I A A A A A A g A A A A A A A 2 Y A A M A A A A A Q A A A A s 3 1 o N K r X G h D l 9 X d N H b C + 1 A A A A A A E g A A A o A A A A B A A A A A K C i j r V o A S G E 8 O w 5 4 P r x b W U A A A A N o A q C 9 T X r n m T E N c c t E 1 S m A j F D D D a O w + e m G 6 t t B e w 0 Y 5 f 0 n m N x h 0 N s V 8 e h F v / m A 5 X y k u M W G D m Z B X P D K e t d R 3 l U 0 z Z 2 y i Y q 3 + W z J X 1 8 2 k g B G N F A A A A P V / F 6 C a q p c 6 L r i X N 4 8 D x Y H 8 n H T I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39BCF8C10C0F4DBE17E99B61C93E7A" ma:contentTypeVersion="18" ma:contentTypeDescription="Create a new document." ma:contentTypeScope="" ma:versionID="75d9fdd740f04abd73817071e1462b26">
  <xsd:schema xmlns:xsd="http://www.w3.org/2001/XMLSchema" xmlns:xs="http://www.w3.org/2001/XMLSchema" xmlns:p="http://schemas.microsoft.com/office/2006/metadata/properties" xmlns:ns3="39c4a7ff-ac0c-43ae-af92-5dd144f40fa2" xmlns:ns4="b007c6b8-87a0-4d8b-8ecf-e3ec3909a945" targetNamespace="http://schemas.microsoft.com/office/2006/metadata/properties" ma:root="true" ma:fieldsID="bbda2c3bb0a173cfbba6e925f9547650" ns3:_="" ns4:_="">
    <xsd:import namespace="39c4a7ff-ac0c-43ae-af92-5dd144f40fa2"/>
    <xsd:import namespace="b007c6b8-87a0-4d8b-8ecf-e3ec3909a9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4a7ff-ac0c-43ae-af92-5dd144f40f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7c6b8-87a0-4d8b-8ecf-e3ec3909a94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5CCCF-4443-4D01-AE6B-9DD55BB957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684A81-F3BE-4914-BCB7-4C5354E9BE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007c6b8-87a0-4d8b-8ecf-e3ec3909a945"/>
    <ds:schemaRef ds:uri="http://purl.org/dc/elements/1.1/"/>
    <ds:schemaRef ds:uri="http://schemas.microsoft.com/office/2006/metadata/properties"/>
    <ds:schemaRef ds:uri="39c4a7ff-ac0c-43ae-af92-5dd144f40fa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9F8E98-0BBE-4F27-9B76-EE6C2DD8B98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F08ECD8-FD6A-4DFF-B8A7-A2EA0D59F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4a7ff-ac0c-43ae-af92-5dd144f40fa2"/>
    <ds:schemaRef ds:uri="b007c6b8-87a0-4d8b-8ecf-e3ec3909a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9 over12 Qtr Comp Calculator</vt:lpstr>
      <vt:lpstr>9 over 9 Comp Calc</vt:lpstr>
      <vt:lpstr>Service Period Dropdown Info</vt:lpstr>
    </vt:vector>
  </TitlesOfParts>
  <Company>UCSD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Fowler, Heather</dc:creator>
  <cp:lastModifiedBy>Corbeil, Jackie</cp:lastModifiedBy>
  <cp:lastPrinted>2023-02-12T15:51:43Z</cp:lastPrinted>
  <dcterms:created xsi:type="dcterms:W3CDTF">2017-03-13T19:50:31Z</dcterms:created>
  <dcterms:modified xsi:type="dcterms:W3CDTF">2025-05-28T21:18:05Z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0x0101001C39BCF8C10C0F4DBE17E99B61C93E7A</vt:lpwstr>
  </property>
</Properties>
</file>